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45" activeTab="0"/>
  </bookViews>
  <sheets>
    <sheet name="European Airports 2011 vly" sheetId="1" r:id="rId1"/>
    <sheet name="European Airports 2011 Pax" sheetId="2" r:id="rId2"/>
  </sheets>
  <definedNames/>
  <calcPr fullCalcOnLoad="1"/>
</workbook>
</file>

<file path=xl/sharedStrings.xml><?xml version="1.0" encoding="utf-8"?>
<sst xmlns="http://schemas.openxmlformats.org/spreadsheetml/2006/main" count="1404" uniqueCount="399">
  <si>
    <t>Country</t>
  </si>
  <si>
    <t>Airport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</si>
  <si>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</si>
  <si>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</si>
  <si>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</si>
  <si>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</si>
  <si>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</si>
  <si>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</si>
  <si>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</si>
  <si>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</si>
  <si>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</si>
  <si>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</si>
  <si>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</si>
  <si>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</si>
  <si>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Germany</t>
  </si>
  <si>
    <t>Berlin Tegel</t>
  </si>
  <si>
    <t>Bremen</t>
  </si>
  <si>
    <t>Dortmund</t>
  </si>
  <si>
    <t>Dresden</t>
  </si>
  <si>
    <t>Erfurt</t>
  </si>
  <si>
    <t>Frankfurt</t>
  </si>
  <si>
    <t>Friedrichshafen</t>
  </si>
  <si>
    <t>Hahn</t>
  </si>
  <si>
    <t>Hamburg</t>
  </si>
  <si>
    <t>Hannover</t>
  </si>
  <si>
    <t>Karlsruhe/Baden-Baden</t>
  </si>
  <si>
    <t>Cologne/Bonn</t>
  </si>
  <si>
    <t>Leipzig/Halle</t>
  </si>
  <si>
    <t>Munich</t>
  </si>
  <si>
    <t>Nurnberg</t>
  </si>
  <si>
    <t>Paderborn/Lippstadt</t>
  </si>
  <si>
    <t>Stuttgart</t>
  </si>
  <si>
    <t>Weeze</t>
  </si>
  <si>
    <t>Spain</t>
  </si>
  <si>
    <t>Madrid</t>
  </si>
  <si>
    <t>Barcelona</t>
  </si>
  <si>
    <t>Palma de Mallorca</t>
  </si>
  <si>
    <t>Malaga</t>
  </si>
  <si>
    <t>Gran Canaria</t>
  </si>
  <si>
    <t>Alicante</t>
  </si>
  <si>
    <t>Tenerife Sur</t>
  </si>
  <si>
    <t>Valencia</t>
  </si>
  <si>
    <t>Lanzarote</t>
  </si>
  <si>
    <t>Girona</t>
  </si>
  <si>
    <t>Ibiza</t>
  </si>
  <si>
    <t>Fuerteventura</t>
  </si>
  <si>
    <t>Seville</t>
  </si>
  <si>
    <t>Bilbao</t>
  </si>
  <si>
    <t>Tenerife Norte</t>
  </si>
  <si>
    <t>Menorca</t>
  </si>
  <si>
    <t>Santiago de Compostela</t>
  </si>
  <si>
    <t>Murcia San Javier</t>
  </si>
  <si>
    <t>Jerez de la Frontera</t>
  </si>
  <si>
    <t>Asturias</t>
  </si>
  <si>
    <t>Granada</t>
  </si>
  <si>
    <t>Vigo</t>
  </si>
  <si>
    <t>Reus</t>
  </si>
  <si>
    <t>A Coruna</t>
  </si>
  <si>
    <t>Almeria</t>
  </si>
  <si>
    <t>Santander</t>
  </si>
  <si>
    <t>Valladolid</t>
  </si>
  <si>
    <t>Zaragoza</t>
  </si>
  <si>
    <t>Pamplona</t>
  </si>
  <si>
    <t>San Sebastian</t>
  </si>
  <si>
    <t>Melilla</t>
  </si>
  <si>
    <t>El Hierro</t>
  </si>
  <si>
    <t>All airports</t>
  </si>
  <si>
    <t>Paris CDG</t>
  </si>
  <si>
    <t>Paris ORY</t>
  </si>
  <si>
    <t>Nice</t>
  </si>
  <si>
    <t>Lyon</t>
  </si>
  <si>
    <t>Marseille</t>
  </si>
  <si>
    <t>Toulouse</t>
  </si>
  <si>
    <t>Basle-Mulhouse</t>
  </si>
  <si>
    <t>Bordeaux</t>
  </si>
  <si>
    <t>Nantes</t>
  </si>
  <si>
    <t>Strasbourg</t>
  </si>
  <si>
    <t>Paris Beauvais</t>
  </si>
  <si>
    <t>France</t>
  </si>
  <si>
    <t>Switzerland</t>
  </si>
  <si>
    <t>Ireland</t>
  </si>
  <si>
    <t>Cork</t>
  </si>
  <si>
    <t>Milan Bergamo</t>
  </si>
  <si>
    <t>Bologna</t>
  </si>
  <si>
    <t>Catania</t>
  </si>
  <si>
    <t>Milan Linate</t>
  </si>
  <si>
    <t>Milan Malpensa</t>
  </si>
  <si>
    <t>Naples</t>
  </si>
  <si>
    <t>Palermo</t>
  </si>
  <si>
    <t>Pisa</t>
  </si>
  <si>
    <t>Rome Ciampino</t>
  </si>
  <si>
    <t>Rome Fiumicino</t>
  </si>
  <si>
    <t>Turin</t>
  </si>
  <si>
    <t>Venice Marco Polo</t>
  </si>
  <si>
    <t>Verona</t>
  </si>
  <si>
    <t>Italy</t>
  </si>
  <si>
    <t>Cagliari</t>
  </si>
  <si>
    <t>Bari</t>
  </si>
  <si>
    <t>Florence</t>
  </si>
  <si>
    <t>Olbia</t>
  </si>
  <si>
    <t>Treviso</t>
  </si>
  <si>
    <t>Lamezia Terme</t>
  </si>
  <si>
    <t>Alghero</t>
  </si>
  <si>
    <t>Genoa</t>
  </si>
  <si>
    <t>Brindisi</t>
  </si>
  <si>
    <t>Trieste</t>
  </si>
  <si>
    <t>Forli</t>
  </si>
  <si>
    <t>Reggio Calabria</t>
  </si>
  <si>
    <t>Trapani</t>
  </si>
  <si>
    <t>Rimini</t>
  </si>
  <si>
    <t>Ancona</t>
  </si>
  <si>
    <t>Pescara</t>
  </si>
  <si>
    <t>Brescia</t>
  </si>
  <si>
    <t>United Kingdom</t>
  </si>
  <si>
    <t>London City</t>
  </si>
  <si>
    <t>Aberdeen</t>
  </si>
  <si>
    <t>Belfast City</t>
  </si>
  <si>
    <t>Belfast International</t>
  </si>
  <si>
    <t>Edinburgh</t>
  </si>
  <si>
    <t>Glasgow</t>
  </si>
  <si>
    <t>Prestwick</t>
  </si>
  <si>
    <t>Birmingham</t>
  </si>
  <si>
    <t>Doncaster/Sheffield</t>
  </si>
  <si>
    <t>Leeds/Bradford</t>
  </si>
  <si>
    <t>Liverpool</t>
  </si>
  <si>
    <t>Manchester</t>
  </si>
  <si>
    <t>Newcastle</t>
  </si>
  <si>
    <t>Bournemouth</t>
  </si>
  <si>
    <t>Bristol</t>
  </si>
  <si>
    <t>Cardiff</t>
  </si>
  <si>
    <t>Exeter</t>
  </si>
  <si>
    <t>Southampton</t>
  </si>
  <si>
    <t>Blackpool</t>
  </si>
  <si>
    <t>Durham Tees Valley</t>
  </si>
  <si>
    <t>Guernsey</t>
  </si>
  <si>
    <t>Humberside</t>
  </si>
  <si>
    <t>Inverness</t>
  </si>
  <si>
    <t>Isle Of Man</t>
  </si>
  <si>
    <t>Jersey</t>
  </si>
  <si>
    <t>Kirkwall</t>
  </si>
  <si>
    <t>Newquay</t>
  </si>
  <si>
    <t>Norwich</t>
  </si>
  <si>
    <t>Scatsta</t>
  </si>
  <si>
    <t>Stornoway</t>
  </si>
  <si>
    <t>Sumburgh</t>
  </si>
  <si>
    <t>London Gatwick</t>
  </si>
  <si>
    <t>London Heathrow</t>
  </si>
  <si>
    <t>London Stansted</t>
  </si>
  <si>
    <t>London Luton</t>
  </si>
  <si>
    <t>City of Derry</t>
  </si>
  <si>
    <t>Netherlands</t>
  </si>
  <si>
    <t>Amsterdam</t>
  </si>
  <si>
    <t>Dublin</t>
  </si>
  <si>
    <t>Denmark</t>
  </si>
  <si>
    <t>Copenhagen</t>
  </si>
  <si>
    <t>Zurich</t>
  </si>
  <si>
    <t>Austria</t>
  </si>
  <si>
    <t>Vienna</t>
  </si>
  <si>
    <t>Belgium</t>
  </si>
  <si>
    <t>Greece</t>
  </si>
  <si>
    <t>Athens</t>
  </si>
  <si>
    <t>Portugal</t>
  </si>
  <si>
    <t>Lisbon</t>
  </si>
  <si>
    <t>Finland</t>
  </si>
  <si>
    <t>Helsinki</t>
  </si>
  <si>
    <t>Sweden</t>
  </si>
  <si>
    <t>Stockholm Arlanda</t>
  </si>
  <si>
    <t>Norway</t>
  </si>
  <si>
    <t>Oslo</t>
  </si>
  <si>
    <t>Porto</t>
  </si>
  <si>
    <t>Faro</t>
  </si>
  <si>
    <t>Madeira</t>
  </si>
  <si>
    <t>Ponto Delgada</t>
  </si>
  <si>
    <t>Horta</t>
  </si>
  <si>
    <t>Porto Santo</t>
  </si>
  <si>
    <t>All ANA airports</t>
  </si>
  <si>
    <t>Billund</t>
  </si>
  <si>
    <t>Iceland</t>
  </si>
  <si>
    <t>Keflavik</t>
  </si>
  <si>
    <t>Gothenburg Landvetter</t>
  </si>
  <si>
    <t>Kiruna</t>
  </si>
  <si>
    <t>Lulea</t>
  </si>
  <si>
    <t>Malmo</t>
  </si>
  <si>
    <t>Ronneby</t>
  </si>
  <si>
    <t>Skelleftea</t>
  </si>
  <si>
    <t>Stockholm Bromma</t>
  </si>
  <si>
    <t>Sundsvall</t>
  </si>
  <si>
    <t>Umea</t>
  </si>
  <si>
    <t>Visby</t>
  </si>
  <si>
    <t>Ostersund</t>
  </si>
  <si>
    <t>Angelholm</t>
  </si>
  <si>
    <t>Stockholm Skavsta</t>
  </si>
  <si>
    <t>Bergen</t>
  </si>
  <si>
    <t>Stavanger</t>
  </si>
  <si>
    <t>Trondheim</t>
  </si>
  <si>
    <t>Oulu</t>
  </si>
  <si>
    <t>Tampere</t>
  </si>
  <si>
    <t>Turku</t>
  </si>
  <si>
    <t>Bodo</t>
  </si>
  <si>
    <t>Tromso</t>
  </si>
  <si>
    <t>Kristiansand</t>
  </si>
  <si>
    <t>Haugesund</t>
  </si>
  <si>
    <t>Alesund</t>
  </si>
  <si>
    <t>Molde</t>
  </si>
  <si>
    <t>Kristiansund</t>
  </si>
  <si>
    <t>Harstad/Narvik</t>
  </si>
  <si>
    <t>Bardufoss</t>
  </si>
  <si>
    <t>Alta</t>
  </si>
  <si>
    <t>Kirkenes</t>
  </si>
  <si>
    <t>Svalbard</t>
  </si>
  <si>
    <t>Sandefjord Torp</t>
  </si>
  <si>
    <t>Poland</t>
  </si>
  <si>
    <t>Warsaw</t>
  </si>
  <si>
    <t>Katowice</t>
  </si>
  <si>
    <t>Krakow</t>
  </si>
  <si>
    <t>Gdansk</t>
  </si>
  <si>
    <t>Wroclaw</t>
  </si>
  <si>
    <t>Poznan</t>
  </si>
  <si>
    <t>Geneva</t>
  </si>
  <si>
    <t>Serbia</t>
  </si>
  <si>
    <t>Belgrade</t>
  </si>
  <si>
    <t>Croatia</t>
  </si>
  <si>
    <t>Dubrovnik</t>
  </si>
  <si>
    <t>Malta</t>
  </si>
  <si>
    <t>Czech Republic</t>
  </si>
  <si>
    <t>Prague</t>
  </si>
  <si>
    <t>Riga</t>
  </si>
  <si>
    <t>Latvia</t>
  </si>
  <si>
    <t>Estonia</t>
  </si>
  <si>
    <t>Tallinn</t>
  </si>
  <si>
    <t>Bulgaria</t>
  </si>
  <si>
    <t>Sofia</t>
  </si>
  <si>
    <t>Split</t>
  </si>
  <si>
    <t>Zagreb</t>
  </si>
  <si>
    <t>Hungary</t>
  </si>
  <si>
    <t>Budapest</t>
  </si>
  <si>
    <t>Luxembourg</t>
  </si>
  <si>
    <t>Montpellier</t>
  </si>
  <si>
    <t>Toulon</t>
  </si>
  <si>
    <t>Romania</t>
  </si>
  <si>
    <t>Bucharest Otopeni</t>
  </si>
  <si>
    <t>Cyprus</t>
  </si>
  <si>
    <t>Larnaca</t>
  </si>
  <si>
    <t>Shannon</t>
  </si>
  <si>
    <t>Paphos</t>
  </si>
  <si>
    <t>Russia</t>
  </si>
  <si>
    <t>Moscow Domodedovo</t>
  </si>
  <si>
    <t>Moscow Sheremetyevo</t>
  </si>
  <si>
    <t>Moscow Vnukovo</t>
  </si>
  <si>
    <t>St Petersburg</t>
  </si>
  <si>
    <t>Bucharest Baneasa</t>
  </si>
  <si>
    <t>Cluj Napoca</t>
  </si>
  <si>
    <t>Timisoara</t>
  </si>
  <si>
    <t>Rotterdam</t>
  </si>
  <si>
    <t>Lithuania</t>
  </si>
  <si>
    <t>Kaunas</t>
  </si>
  <si>
    <t>Slovakia</t>
  </si>
  <si>
    <t>Bratislava</t>
  </si>
  <si>
    <t>Kosice</t>
  </si>
  <si>
    <t>Brussels Charleroi</t>
  </si>
  <si>
    <t>Brest</t>
  </si>
  <si>
    <t>Vaasa</t>
  </si>
  <si>
    <t>Lille</t>
  </si>
  <si>
    <t>Morocco</t>
  </si>
  <si>
    <t>Casablanca</t>
  </si>
  <si>
    <t>Marrakech</t>
  </si>
  <si>
    <t>Agadir</t>
  </si>
  <si>
    <t>Fez</t>
  </si>
  <si>
    <t>Tangier</t>
  </si>
  <si>
    <t>Oujda</t>
  </si>
  <si>
    <t>Rabat</t>
  </si>
  <si>
    <t>Turkey</t>
  </si>
  <si>
    <t>Istanbul Sabiha Gokcen</t>
  </si>
  <si>
    <t>Salzburg</t>
  </si>
  <si>
    <t>Antwerp</t>
  </si>
  <si>
    <t>Graz</t>
  </si>
  <si>
    <t>Brussels Zaventum</t>
  </si>
  <si>
    <t>Bourgas</t>
  </si>
  <si>
    <t>Varna</t>
  </si>
  <si>
    <t>Eindhoven</t>
  </si>
  <si>
    <t>Maastricht</t>
  </si>
  <si>
    <t>Antalya</t>
  </si>
  <si>
    <t>Vilnius</t>
  </si>
  <si>
    <t>Knock</t>
  </si>
  <si>
    <t>vly</t>
  </si>
  <si>
    <t>Ivalo</t>
  </si>
  <si>
    <t>Joensuu</t>
  </si>
  <si>
    <t>Kittila</t>
  </si>
  <si>
    <t>Kuopio</t>
  </si>
  <si>
    <t>Rovaniemi</t>
  </si>
  <si>
    <t>Lodz</t>
  </si>
  <si>
    <t>Albania</t>
  </si>
  <si>
    <t>Tirana</t>
  </si>
  <si>
    <t>Iasi</t>
  </si>
  <si>
    <t>Bacau</t>
  </si>
  <si>
    <t>Sibiu</t>
  </si>
  <si>
    <t>Parma</t>
  </si>
  <si>
    <t>Slovenia</t>
  </si>
  <si>
    <t>Ekaterinburg</t>
  </si>
  <si>
    <t>Novosibirsk</t>
  </si>
  <si>
    <t>Samara</t>
  </si>
  <si>
    <t>Rennes</t>
  </si>
  <si>
    <t>Istanbul Ataturk</t>
  </si>
  <si>
    <t>Izmir</t>
  </si>
  <si>
    <t>Ankara</t>
  </si>
  <si>
    <t>Dalaman</t>
  </si>
  <si>
    <t>Bodrum</t>
  </si>
  <si>
    <t>Adana</t>
  </si>
  <si>
    <t>Trabzon</t>
  </si>
  <si>
    <t>Diyarbakir</t>
  </si>
  <si>
    <t>Kayseri</t>
  </si>
  <si>
    <t>Gaziantep</t>
  </si>
  <si>
    <t>Rostov-on-Don</t>
  </si>
  <si>
    <t>Khabarovsk</t>
  </si>
  <si>
    <t>Vladivostok</t>
  </si>
  <si>
    <t>Bosnia &amp; Herzegovina</t>
  </si>
  <si>
    <t>Sarajevo</t>
  </si>
  <si>
    <t>East Midlands</t>
  </si>
  <si>
    <t>Bastia</t>
  </si>
  <si>
    <t>Aalborg</t>
  </si>
  <si>
    <t>Aarhus</t>
  </si>
  <si>
    <t>Zadar</t>
  </si>
  <si>
    <t>Pula</t>
  </si>
  <si>
    <t>Gothenburg City (GSE)</t>
  </si>
  <si>
    <t>Ljubljana</t>
  </si>
  <si>
    <t>Pau</t>
  </si>
  <si>
    <t>Macedonia</t>
  </si>
  <si>
    <t>Rzeszow</t>
  </si>
  <si>
    <t>Pax 2010</t>
  </si>
  <si>
    <t>Linz</t>
  </si>
  <si>
    <t>Nador</t>
  </si>
  <si>
    <t>Innsbruck</t>
  </si>
  <si>
    <t>All airports (Swedavia)</t>
  </si>
  <si>
    <t>Clermont-Ferrand</t>
  </si>
  <si>
    <t>Ukraine</t>
  </si>
  <si>
    <t>Armenia</t>
  </si>
  <si>
    <t>Belarus</t>
  </si>
  <si>
    <t>Moldova</t>
  </si>
  <si>
    <t>Georgia</t>
  </si>
  <si>
    <t>Montenegro</t>
  </si>
  <si>
    <t>Kiev Borispol</t>
  </si>
  <si>
    <t>Dnepropetrovsk</t>
  </si>
  <si>
    <t>Odessa</t>
  </si>
  <si>
    <t>Simferopol</t>
  </si>
  <si>
    <t>Donetsk</t>
  </si>
  <si>
    <t>Kharkov</t>
  </si>
  <si>
    <t>Lvov</t>
  </si>
  <si>
    <t>Moss Rygge</t>
  </si>
  <si>
    <t>Pristina</t>
  </si>
  <si>
    <t>Chisinau</t>
  </si>
  <si>
    <t>Tbilisi</t>
  </si>
  <si>
    <t>Kosovo</t>
  </si>
  <si>
    <t>Minsk</t>
  </si>
  <si>
    <t>All airports (ADV)</t>
  </si>
  <si>
    <t>Klagenfurt</t>
  </si>
  <si>
    <t>Biarritz</t>
  </si>
  <si>
    <t>European Airport Traffic Trends 2011: Passenger numbers</t>
  </si>
  <si>
    <t>European Airport Traffic Trends 2011: Change in passenger numbers</t>
  </si>
  <si>
    <t>Bydgoszcz</t>
  </si>
  <si>
    <t>Dinard</t>
  </si>
  <si>
    <t>Pax 2011</t>
  </si>
  <si>
    <t>Perugia</t>
  </si>
  <si>
    <t>Podgorica</t>
  </si>
  <si>
    <t>Tivat</t>
  </si>
  <si>
    <t>Tarbes-Lourdes</t>
  </si>
  <si>
    <t>Heraklion</t>
  </si>
  <si>
    <t>Thessaloniki</t>
  </si>
  <si>
    <t>Rhodes</t>
  </si>
  <si>
    <t>Corfu</t>
  </si>
  <si>
    <t>Chania</t>
  </si>
  <si>
    <t>Kos</t>
  </si>
  <si>
    <t>Zakinthos</t>
  </si>
  <si>
    <t>Santorini</t>
  </si>
  <si>
    <t>Mytilene</t>
  </si>
  <si>
    <t>Mykonos</t>
  </si>
  <si>
    <t>Samos</t>
  </si>
  <si>
    <t>Kefallinia</t>
  </si>
  <si>
    <t>Kavala</t>
  </si>
  <si>
    <t>Preveza/Lefkas</t>
  </si>
  <si>
    <t>Alexandroupolis</t>
  </si>
  <si>
    <t>Chios</t>
  </si>
  <si>
    <t>Skiathos</t>
  </si>
  <si>
    <t>Karpathos</t>
  </si>
  <si>
    <t>Ioannina</t>
  </si>
  <si>
    <t>Limnos</t>
  </si>
  <si>
    <t>All airports (AENA)</t>
  </si>
  <si>
    <r>
      <t>Saarbr</t>
    </r>
    <r>
      <rPr>
        <b/>
        <sz val="10"/>
        <rFont val="Verdana"/>
        <family val="0"/>
      </rPr>
      <t>ü</t>
    </r>
    <r>
      <rPr>
        <b/>
        <sz val="10"/>
        <rFont val="Verdana"/>
        <family val="2"/>
      </rPr>
      <t>cken</t>
    </r>
  </si>
  <si>
    <r>
      <t>L</t>
    </r>
    <r>
      <rPr>
        <b/>
        <sz val="10"/>
        <rFont val="Verdana"/>
        <family val="0"/>
      </rPr>
      <t>ü</t>
    </r>
    <r>
      <rPr>
        <b/>
        <sz val="10"/>
        <rFont val="Verdana"/>
        <family val="2"/>
      </rPr>
      <t>beck</t>
    </r>
  </si>
  <si>
    <r>
      <t>M</t>
    </r>
    <r>
      <rPr>
        <b/>
        <sz val="10"/>
        <rFont val="Verdana"/>
        <family val="0"/>
      </rPr>
      <t>ü</t>
    </r>
    <r>
      <rPr>
        <b/>
        <sz val="10"/>
        <rFont val="Verdana"/>
        <family val="2"/>
      </rPr>
      <t>nster/Osnabr</t>
    </r>
    <r>
      <rPr>
        <b/>
        <sz val="10"/>
        <rFont val="Verdana"/>
        <family val="0"/>
      </rPr>
      <t>ü</t>
    </r>
    <r>
      <rPr>
        <b/>
        <sz val="10"/>
        <rFont val="Verdana"/>
        <family val="2"/>
      </rPr>
      <t>ck</t>
    </r>
  </si>
  <si>
    <r>
      <t>D</t>
    </r>
    <r>
      <rPr>
        <b/>
        <sz val="10"/>
        <rFont val="Verdana"/>
        <family val="0"/>
      </rPr>
      <t>ü</t>
    </r>
    <r>
      <rPr>
        <b/>
        <sz val="10"/>
        <rFont val="Verdana"/>
        <family val="2"/>
      </rPr>
      <t>sseldorf</t>
    </r>
  </si>
  <si>
    <r>
      <t>Berlin Sch</t>
    </r>
    <r>
      <rPr>
        <b/>
        <sz val="10"/>
        <rFont val="Verdana"/>
        <family val="0"/>
      </rPr>
      <t>ö</t>
    </r>
    <r>
      <rPr>
        <b/>
        <sz val="10"/>
        <rFont val="Verdana"/>
        <family val="2"/>
      </rPr>
      <t>nefeld</t>
    </r>
  </si>
  <si>
    <r>
      <t>Allg</t>
    </r>
    <r>
      <rPr>
        <b/>
        <sz val="10"/>
        <rFont val="Verdana"/>
        <family val="0"/>
      </rPr>
      <t>ä</t>
    </r>
    <r>
      <rPr>
        <b/>
        <sz val="10"/>
        <rFont val="Verdana"/>
        <family val="2"/>
      </rPr>
      <t>u-Memmingen</t>
    </r>
  </si>
  <si>
    <t>La Palma</t>
  </si>
  <si>
    <t>Ajaccio</t>
  </si>
  <si>
    <t>Yerevan</t>
  </si>
  <si>
    <t>Skopje</t>
  </si>
  <si>
    <t>Liege</t>
  </si>
  <si>
    <t>Chambery</t>
  </si>
  <si>
    <t>Sources: ACI Europe, ADV, AENA, BAA, CAA, Assaeroporti, ANA, Avinor, Swedavia, Finavia, DHMI, Onda, HCAA and individual airports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</si>
</sst>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\ ###\ ##0"/>
    <numFmt numFmtId="172" formatCode="#\ ##0"/>
    <numFmt numFmtId="173" formatCode="_(* #,##0_);_(* \(#,##0\);_(* &quot;-&quot;??_);_(@_)"/>
    <numFmt numFmtId="174" formatCode="_-* #,##0_-;\-* #,##0_-;_-* &quot;-&quot;??_-;_-@_-"/>
    <numFmt numFmtId="175" formatCode="##\ ###\ ##0"/>
    <numFmt numFmtId="176" formatCode="#\ ###\ ###"/>
    <numFmt numFmtId="177" formatCode="###\ ##0"/>
    <numFmt numFmtId="178" formatCode="###0"/>
  </numFmts>
  <fonts count="31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b/>
      <sz val="8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1" fillId="24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165" fontId="1" fillId="24" borderId="0" xfId="0" applyNumberFormat="1" applyFont="1" applyFill="1" applyAlignment="1">
      <alignment horizontal="right"/>
    </xf>
    <xf numFmtId="0" fontId="6" fillId="25" borderId="0" xfId="0" applyFont="1" applyFill="1" applyAlignment="1">
      <alignment/>
    </xf>
    <xf numFmtId="165" fontId="7" fillId="25" borderId="0" xfId="0" applyNumberFormat="1" applyFont="1" applyFill="1" applyAlignment="1">
      <alignment/>
    </xf>
    <xf numFmtId="164" fontId="8" fillId="25" borderId="0" xfId="0" applyNumberFormat="1" applyFont="1" applyFill="1" applyAlignment="1">
      <alignment/>
    </xf>
    <xf numFmtId="164" fontId="9" fillId="0" borderId="0" xfId="59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25" borderId="0" xfId="0" applyNumberFormat="1" applyFont="1" applyFill="1" applyAlignment="1">
      <alignment/>
    </xf>
    <xf numFmtId="164" fontId="3" fillId="0" borderId="0" xfId="59" applyNumberFormat="1" applyFont="1" applyAlignment="1">
      <alignment horizontal="right"/>
    </xf>
    <xf numFmtId="164" fontId="3" fillId="25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59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Fill="1" applyAlignment="1">
      <alignment/>
    </xf>
    <xf numFmtId="171" fontId="9" fillId="0" borderId="0" xfId="59" applyNumberFormat="1" applyFont="1" applyFill="1" applyAlignment="1">
      <alignment/>
    </xf>
    <xf numFmtId="171" fontId="3" fillId="0" borderId="0" xfId="59" applyNumberFormat="1" applyFont="1" applyBorder="1" applyAlignment="1">
      <alignment/>
    </xf>
    <xf numFmtId="171" fontId="3" fillId="0" borderId="0" xfId="59" applyNumberFormat="1" applyFont="1" applyAlignment="1">
      <alignment horizontal="right"/>
    </xf>
    <xf numFmtId="164" fontId="3" fillId="0" borderId="0" xfId="59" applyNumberFormat="1" applyFont="1" applyFill="1" applyAlignment="1">
      <alignment/>
    </xf>
    <xf numFmtId="171" fontId="7" fillId="26" borderId="0" xfId="0" applyNumberFormat="1" applyFont="1" applyFill="1" applyAlignment="1">
      <alignment/>
    </xf>
    <xf numFmtId="172" fontId="3" fillId="0" borderId="0" xfId="59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175" fontId="3" fillId="0" borderId="0" xfId="0" applyNumberFormat="1" applyFont="1" applyAlignment="1">
      <alignment/>
    </xf>
    <xf numFmtId="175" fontId="3" fillId="0" borderId="0" xfId="59" applyNumberFormat="1" applyFont="1" applyAlignment="1">
      <alignment horizontal="right"/>
    </xf>
    <xf numFmtId="164" fontId="3" fillId="0" borderId="0" xfId="59" applyNumberFormat="1" applyFont="1" applyAlignment="1">
      <alignment/>
    </xf>
    <xf numFmtId="176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75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71" fontId="3" fillId="2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64" fontId="0" fillId="0" borderId="0" xfId="59" applyNumberForma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59" applyNumberFormat="1" applyFont="1" applyBorder="1" applyAlignment="1">
      <alignment/>
    </xf>
    <xf numFmtId="164" fontId="9" fillId="0" borderId="0" xfId="59" applyNumberFormat="1" applyFont="1" applyAlignment="1">
      <alignment horizontal="right"/>
    </xf>
    <xf numFmtId="164" fontId="3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12" fillId="0" borderId="0" xfId="0" applyNumberFormat="1" applyFont="1" applyFill="1" applyAlignment="1">
      <alignment/>
    </xf>
    <xf numFmtId="164" fontId="3" fillId="24" borderId="0" xfId="59" applyNumberFormat="1" applyFont="1" applyFill="1" applyAlignment="1">
      <alignment horizontal="right"/>
    </xf>
    <xf numFmtId="172" fontId="3" fillId="0" borderId="0" xfId="0" applyNumberFormat="1" applyFont="1" applyAlignment="1">
      <alignment/>
    </xf>
    <xf numFmtId="0" fontId="4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20.625" style="0" customWidth="1"/>
    <col min="2" max="2" width="24.875" style="0" customWidth="1"/>
    <col min="3" max="3" width="10.625" style="5" customWidth="1"/>
    <col min="4" max="9" width="7.625" style="3" customWidth="1"/>
    <col min="10" max="10" width="8.00390625" style="3" bestFit="1" customWidth="1"/>
    <col min="11" max="15" width="7.625" style="3" customWidth="1"/>
  </cols>
  <sheetData>
    <row r="1" spans="1:15" ht="19.5">
      <c r="A1" s="51" t="s">
        <v>357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2" t="s">
        <v>398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10"/>
      <c r="B3" s="10"/>
      <c r="C3" s="11"/>
      <c r="D3" s="12"/>
      <c r="E3" s="12"/>
      <c r="F3" s="12"/>
      <c r="G3" s="12"/>
      <c r="H3" s="10"/>
      <c r="I3" s="17"/>
      <c r="J3" s="17"/>
      <c r="K3" s="17"/>
      <c r="L3" s="17"/>
      <c r="M3" s="17"/>
      <c r="N3" s="17"/>
      <c r="O3" s="17"/>
    </row>
    <row r="4" spans="1:15" ht="12.75">
      <c r="A4" s="2" t="s">
        <v>0</v>
      </c>
      <c r="B4" s="2" t="s">
        <v>1</v>
      </c>
      <c r="C4" s="9" t="s">
        <v>328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</row>
    <row r="5" spans="1:15" ht="12.75">
      <c r="A5" s="1" t="s">
        <v>291</v>
      </c>
      <c r="B5" s="6" t="s">
        <v>292</v>
      </c>
      <c r="C5" s="29">
        <v>1536822</v>
      </c>
      <c r="D5" s="7">
        <v>0.157</v>
      </c>
      <c r="E5" s="7">
        <v>0.172</v>
      </c>
      <c r="F5" s="7">
        <v>0.239</v>
      </c>
      <c r="G5" s="7">
        <v>0.384</v>
      </c>
      <c r="H5" s="7">
        <v>0.254</v>
      </c>
      <c r="I5" s="7">
        <v>0.191</v>
      </c>
      <c r="J5" s="7">
        <v>0.102</v>
      </c>
      <c r="K5" s="7">
        <v>0.033</v>
      </c>
      <c r="L5" s="42">
        <v>0.173</v>
      </c>
      <c r="M5" s="7">
        <v>0.292</v>
      </c>
      <c r="N5" s="7">
        <v>0.331</v>
      </c>
      <c r="O5" s="7">
        <v>0.126</v>
      </c>
    </row>
    <row r="6" spans="1:15" ht="12.75">
      <c r="A6" s="36" t="s">
        <v>335</v>
      </c>
      <c r="B6" s="36" t="s">
        <v>394</v>
      </c>
      <c r="C6" s="29">
        <v>1606718.026183283</v>
      </c>
      <c r="D6" s="7"/>
      <c r="E6" s="7"/>
      <c r="F6" s="7">
        <v>0.058</v>
      </c>
      <c r="G6" s="7">
        <v>0.009</v>
      </c>
      <c r="H6" s="7">
        <v>-0.041</v>
      </c>
      <c r="I6" s="7">
        <v>-0.065</v>
      </c>
      <c r="J6" s="7">
        <v>-0.079</v>
      </c>
      <c r="K6" s="7">
        <v>-0.081</v>
      </c>
      <c r="L6" s="42">
        <v>0.004</v>
      </c>
      <c r="M6" s="7">
        <v>0.021</v>
      </c>
      <c r="N6" s="7">
        <v>0.013</v>
      </c>
      <c r="O6" s="7">
        <v>-0.044</v>
      </c>
    </row>
    <row r="7" spans="1:15" ht="12.75">
      <c r="A7" s="1" t="s">
        <v>156</v>
      </c>
      <c r="B7" s="6" t="s">
        <v>275</v>
      </c>
      <c r="C7" s="29">
        <v>990118</v>
      </c>
      <c r="D7" s="7">
        <v>0.088</v>
      </c>
      <c r="E7" s="7">
        <v>0.062</v>
      </c>
      <c r="F7" s="7">
        <v>-0.053</v>
      </c>
      <c r="G7" s="7">
        <v>0.246</v>
      </c>
      <c r="H7" s="7">
        <v>-0.075</v>
      </c>
      <c r="I7" s="7">
        <v>-0.006</v>
      </c>
      <c r="J7" s="7">
        <v>-0.016</v>
      </c>
      <c r="K7" s="7">
        <v>-0.056</v>
      </c>
      <c r="L7" s="42">
        <v>-0.06</v>
      </c>
      <c r="M7" s="7">
        <v>-0.081</v>
      </c>
      <c r="N7" s="7">
        <v>-0.011</v>
      </c>
      <c r="O7" s="7">
        <v>-0.054</v>
      </c>
    </row>
    <row r="8" spans="1:15" ht="12.75">
      <c r="A8" s="1" t="s">
        <v>156</v>
      </c>
      <c r="B8" s="6" t="s">
        <v>331</v>
      </c>
      <c r="C8" s="29">
        <v>1033384</v>
      </c>
      <c r="D8" s="7">
        <v>0.002</v>
      </c>
      <c r="E8" s="7">
        <v>0.084</v>
      </c>
      <c r="F8" s="7">
        <v>0.031</v>
      </c>
      <c r="G8" s="7">
        <v>0.249</v>
      </c>
      <c r="H8" s="7">
        <v>-0.101</v>
      </c>
      <c r="I8" s="7">
        <v>-0.075</v>
      </c>
      <c r="J8" s="7">
        <v>0.002</v>
      </c>
      <c r="K8" s="7">
        <v>-0.095</v>
      </c>
      <c r="L8" s="42">
        <v>-0.134</v>
      </c>
      <c r="M8" s="7">
        <v>-0.217</v>
      </c>
      <c r="N8" s="7">
        <v>-0.31</v>
      </c>
      <c r="O8" s="7">
        <v>-0.182</v>
      </c>
    </row>
    <row r="9" spans="1:15" ht="12.75">
      <c r="A9" s="1" t="s">
        <v>156</v>
      </c>
      <c r="B9" s="6" t="s">
        <v>354</v>
      </c>
      <c r="C9" s="29">
        <v>425933</v>
      </c>
      <c r="D9" s="7">
        <v>-0.1073</v>
      </c>
      <c r="E9" s="7">
        <v>-0.105</v>
      </c>
      <c r="F9" s="7">
        <v>-0.209</v>
      </c>
      <c r="G9" s="7">
        <v>0.087</v>
      </c>
      <c r="H9" s="7">
        <v>-0.1683</v>
      </c>
      <c r="I9" s="7">
        <v>-0.085</v>
      </c>
      <c r="J9" s="7">
        <v>-0.136</v>
      </c>
      <c r="K9" s="7">
        <v>-0.149</v>
      </c>
      <c r="L9" s="42">
        <v>-0.076</v>
      </c>
      <c r="M9" s="7">
        <v>-0.143</v>
      </c>
      <c r="N9" s="7">
        <v>-0.177</v>
      </c>
      <c r="O9" s="7">
        <v>-0.086</v>
      </c>
    </row>
    <row r="10" spans="1:15" ht="12.75">
      <c r="A10" s="1" t="s">
        <v>156</v>
      </c>
      <c r="B10" s="6" t="s">
        <v>329</v>
      </c>
      <c r="C10" s="29">
        <v>692044</v>
      </c>
      <c r="D10" s="7">
        <v>-0.060917137939513144</v>
      </c>
      <c r="E10" s="7">
        <v>-0.09306872902378516</v>
      </c>
      <c r="F10" s="7">
        <v>-0.07178567661639068</v>
      </c>
      <c r="G10" s="7">
        <v>0.1089591957421645</v>
      </c>
      <c r="H10" s="7">
        <v>-0.08344599669520802</v>
      </c>
      <c r="I10" s="7">
        <v>-0.04082460633415319</v>
      </c>
      <c r="J10" s="7">
        <v>0.003609236887780254</v>
      </c>
      <c r="K10" s="7">
        <v>0.015323977306658687</v>
      </c>
      <c r="L10" s="42">
        <v>-0.03220919347686846</v>
      </c>
      <c r="M10" s="7">
        <v>-0.14346911875470747</v>
      </c>
      <c r="N10" s="7">
        <v>0.12166127828898277</v>
      </c>
      <c r="O10" s="7">
        <v>0.16396081655021244</v>
      </c>
    </row>
    <row r="11" spans="1:15" ht="12.75">
      <c r="A11" s="1" t="s">
        <v>156</v>
      </c>
      <c r="B11" s="6" t="s">
        <v>273</v>
      </c>
      <c r="C11" s="29">
        <v>1625842</v>
      </c>
      <c r="D11" s="7">
        <v>0.077</v>
      </c>
      <c r="E11" s="7">
        <v>0.02</v>
      </c>
      <c r="F11" s="7">
        <v>0.023</v>
      </c>
      <c r="G11" s="7">
        <v>0.119</v>
      </c>
      <c r="H11" s="7">
        <v>0.042</v>
      </c>
      <c r="I11" s="7">
        <v>0.043</v>
      </c>
      <c r="J11" s="7">
        <v>0.082</v>
      </c>
      <c r="K11" s="7">
        <v>0.059</v>
      </c>
      <c r="L11" s="42">
        <v>0.032</v>
      </c>
      <c r="M11" s="7">
        <v>-0.009</v>
      </c>
      <c r="N11" s="7">
        <v>0.042</v>
      </c>
      <c r="O11" s="7">
        <v>0.032</v>
      </c>
    </row>
    <row r="12" spans="1:15" ht="12.75">
      <c r="A12" s="1" t="s">
        <v>156</v>
      </c>
      <c r="B12" s="6" t="s">
        <v>157</v>
      </c>
      <c r="C12" s="29">
        <v>19691206</v>
      </c>
      <c r="D12" s="7">
        <v>0.067</v>
      </c>
      <c r="E12" s="7">
        <v>0.051</v>
      </c>
      <c r="F12" s="7">
        <v>0.049</v>
      </c>
      <c r="G12" s="7">
        <v>0.236</v>
      </c>
      <c r="H12" s="7">
        <v>0.065</v>
      </c>
      <c r="I12" s="7">
        <v>0.057</v>
      </c>
      <c r="J12" s="7">
        <v>0.06</v>
      </c>
      <c r="K12" s="7">
        <v>0.043</v>
      </c>
      <c r="L12" s="42">
        <v>0.077</v>
      </c>
      <c r="M12" s="7">
        <v>0.047</v>
      </c>
      <c r="N12" s="7">
        <v>0.048</v>
      </c>
      <c r="O12" s="7">
        <f>1574900/1442234-1</f>
        <v>0.09198645989485765</v>
      </c>
    </row>
    <row r="13" spans="1:15" ht="12.75">
      <c r="A13" s="1" t="s">
        <v>336</v>
      </c>
      <c r="B13" s="6" t="s">
        <v>352</v>
      </c>
      <c r="C13" s="29">
        <v>1285424</v>
      </c>
      <c r="D13" s="7">
        <v>0.2666960417125652</v>
      </c>
      <c r="E13" s="7">
        <v>0.1944003488879198</v>
      </c>
      <c r="F13" s="7">
        <v>0.38802352732539247</v>
      </c>
      <c r="G13" s="7">
        <v>0.7227846692996607</v>
      </c>
      <c r="H13" s="7">
        <v>0.2796478836118286</v>
      </c>
      <c r="I13" s="7">
        <v>0.3722967499210479</v>
      </c>
      <c r="J13" s="7">
        <v>0.06085712962319656</v>
      </c>
      <c r="K13" s="7">
        <v>0.03102914639119958</v>
      </c>
      <c r="L13" s="42"/>
      <c r="M13" s="7"/>
      <c r="N13" s="7"/>
      <c r="O13" s="7"/>
    </row>
    <row r="14" spans="1:15" ht="12.75">
      <c r="A14" s="1" t="s">
        <v>158</v>
      </c>
      <c r="B14" s="6" t="s">
        <v>274</v>
      </c>
      <c r="C14" s="29">
        <v>102472</v>
      </c>
      <c r="D14" s="7">
        <v>0.03758496601359451</v>
      </c>
      <c r="E14" s="7">
        <v>-0.15649999999999997</v>
      </c>
      <c r="F14" s="7">
        <v>-0.11129202183698883</v>
      </c>
      <c r="G14" s="7">
        <v>0.33302253302253293</v>
      </c>
      <c r="H14" s="7">
        <v>0.20167859787706743</v>
      </c>
      <c r="I14" s="7">
        <v>0.000601021736952756</v>
      </c>
      <c r="J14" s="7">
        <v>0.01766335719233436</v>
      </c>
      <c r="K14" s="7">
        <v>0.06479087452471477</v>
      </c>
      <c r="L14" s="42">
        <v>0.06205985915492951</v>
      </c>
      <c r="M14" s="7">
        <v>0.0018209083119109515</v>
      </c>
      <c r="N14" s="7">
        <v>-0.04576961161843984</v>
      </c>
      <c r="O14" s="7">
        <v>0.12565445026178002</v>
      </c>
    </row>
    <row r="15" spans="1:15" ht="12.75">
      <c r="A15" s="1" t="s">
        <v>158</v>
      </c>
      <c r="B15" s="6" t="s">
        <v>259</v>
      </c>
      <c r="C15" s="29">
        <v>5195372</v>
      </c>
      <c r="D15" s="7">
        <f>378664/296918-1</f>
        <v>0.2753150701540492</v>
      </c>
      <c r="E15" s="7">
        <f>372871/305747-1</f>
        <v>0.2195409930432679</v>
      </c>
      <c r="F15" s="7">
        <f>451090/381023-1</f>
        <v>0.183891786060159</v>
      </c>
      <c r="G15" s="7">
        <f>506177/358162-1</f>
        <v>0.41326271352069743</v>
      </c>
      <c r="H15" s="7">
        <f>537180/467943-1</f>
        <v>0.14796032850154828</v>
      </c>
      <c r="I15" s="7">
        <f>524343/471537-1</f>
        <v>0.11198697026956528</v>
      </c>
      <c r="J15" s="7">
        <f>595903/564261-1</f>
        <v>0.05607688640540465</v>
      </c>
      <c r="K15" s="7">
        <f>589145/556397-1</f>
        <v>0.05885725480187709</v>
      </c>
      <c r="L15" s="42">
        <f>563772/490641-1</f>
        <v>0.14905195448403208</v>
      </c>
      <c r="M15" s="7">
        <f>553882/505140-1</f>
        <v>0.09649206160668333</v>
      </c>
      <c r="N15" s="7">
        <f>415259/426237-1</f>
        <v>-0.025755624218451234</v>
      </c>
      <c r="O15" s="7">
        <f>412721/371366-1</f>
        <v>0.11135914434816319</v>
      </c>
    </row>
    <row r="16" spans="1:15" ht="12.75">
      <c r="A16" s="1" t="s">
        <v>158</v>
      </c>
      <c r="B16" s="6" t="s">
        <v>276</v>
      </c>
      <c r="C16" s="29">
        <v>17181000</v>
      </c>
      <c r="D16" s="7">
        <v>0.083</v>
      </c>
      <c r="E16" s="7">
        <v>0.013</v>
      </c>
      <c r="F16" s="7">
        <v>0.099</v>
      </c>
      <c r="G16" s="7">
        <v>0.373</v>
      </c>
      <c r="H16" s="7">
        <v>0.084</v>
      </c>
      <c r="I16" s="7">
        <v>0.087</v>
      </c>
      <c r="J16" s="7">
        <v>0.093</v>
      </c>
      <c r="K16" s="7">
        <v>0.067</v>
      </c>
      <c r="L16" s="42">
        <v>0.119</v>
      </c>
      <c r="M16" s="7">
        <v>0.033</v>
      </c>
      <c r="N16" s="7">
        <v>0.041</v>
      </c>
      <c r="O16" s="7">
        <v>0.061</v>
      </c>
    </row>
    <row r="17" spans="1:15" ht="12.75">
      <c r="A17" s="36" t="s">
        <v>158</v>
      </c>
      <c r="B17" s="48" t="s">
        <v>396</v>
      </c>
      <c r="C17" s="29">
        <v>296677.3566569485</v>
      </c>
      <c r="D17" s="7">
        <v>-0.264</v>
      </c>
      <c r="E17" s="7">
        <v>-0.362</v>
      </c>
      <c r="F17" s="7">
        <v>-0.171</v>
      </c>
      <c r="G17" s="7">
        <v>0.398</v>
      </c>
      <c r="H17" s="7">
        <v>-0.125</v>
      </c>
      <c r="I17" s="7">
        <v>0.238</v>
      </c>
      <c r="J17" s="7">
        <v>0.044</v>
      </c>
      <c r="K17" s="7">
        <v>-0.009</v>
      </c>
      <c r="L17" s="7">
        <v>0.067</v>
      </c>
      <c r="M17" s="7">
        <v>0.059</v>
      </c>
      <c r="N17" s="7">
        <v>0.559</v>
      </c>
      <c r="O17" s="7">
        <v>0.018</v>
      </c>
    </row>
    <row r="18" spans="1:15" ht="12.75">
      <c r="A18" s="1" t="s">
        <v>315</v>
      </c>
      <c r="B18" s="6" t="s">
        <v>316</v>
      </c>
      <c r="C18" s="29">
        <v>563266</v>
      </c>
      <c r="D18" s="7">
        <f>30484/31746-1</f>
        <v>-0.03975303975303979</v>
      </c>
      <c r="E18" s="7">
        <v>0.184</v>
      </c>
      <c r="F18" s="7">
        <v>0.08354356427755794</v>
      </c>
      <c r="G18" s="7">
        <v>0.24010825168516803</v>
      </c>
      <c r="H18" s="7">
        <v>0.10533483793143694</v>
      </c>
      <c r="I18" s="7">
        <v>0.05630827017237916</v>
      </c>
      <c r="J18" s="7">
        <v>0.11605040280933698</v>
      </c>
      <c r="K18" s="7">
        <v>-0.02369574204216618</v>
      </c>
      <c r="L18" s="42">
        <v>0.079</v>
      </c>
      <c r="M18" s="7">
        <v>0.036</v>
      </c>
      <c r="N18" s="7">
        <v>-0.028</v>
      </c>
      <c r="O18" s="7">
        <v>-0.024</v>
      </c>
    </row>
    <row r="19" spans="1:15" ht="12.75">
      <c r="A19" s="1" t="s">
        <v>230</v>
      </c>
      <c r="B19" s="6" t="s">
        <v>277</v>
      </c>
      <c r="C19" s="29">
        <v>1894109</v>
      </c>
      <c r="D19" s="7">
        <v>0.651</v>
      </c>
      <c r="E19" s="7">
        <v>2.335</v>
      </c>
      <c r="F19" s="7">
        <v>1.333</v>
      </c>
      <c r="G19" s="7">
        <v>1.979</v>
      </c>
      <c r="H19" s="7">
        <v>0.074</v>
      </c>
      <c r="I19" s="7">
        <v>0.168</v>
      </c>
      <c r="J19" s="7">
        <v>0.162</v>
      </c>
      <c r="K19" s="7">
        <v>0.138</v>
      </c>
      <c r="L19" s="42">
        <v>0.18</v>
      </c>
      <c r="M19" s="7">
        <v>0.497</v>
      </c>
      <c r="N19" s="7">
        <v>2.283</v>
      </c>
      <c r="O19" s="20">
        <v>2.702</v>
      </c>
    </row>
    <row r="20" spans="1:15" ht="12.75">
      <c r="A20" s="1" t="s">
        <v>230</v>
      </c>
      <c r="B20" s="6" t="s">
        <v>231</v>
      </c>
      <c r="C20" s="29">
        <v>3296936</v>
      </c>
      <c r="D20" s="14">
        <v>0.015</v>
      </c>
      <c r="E20" s="14">
        <v>0.042</v>
      </c>
      <c r="F20" s="14">
        <v>0.034</v>
      </c>
      <c r="G20" s="14">
        <v>0.267</v>
      </c>
      <c r="H20" s="14">
        <f>310866/279583-1</f>
        <v>0.11189163861894325</v>
      </c>
      <c r="I20" s="14">
        <v>0.0587</v>
      </c>
      <c r="J20" s="14">
        <v>0.0288</v>
      </c>
      <c r="K20" s="14">
        <v>0.022</v>
      </c>
      <c r="L20" s="43">
        <v>0.065</v>
      </c>
      <c r="M20" s="14">
        <v>-0.003</v>
      </c>
      <c r="N20" s="14">
        <v>0.014</v>
      </c>
      <c r="O20" s="14">
        <v>0.031</v>
      </c>
    </row>
    <row r="21" spans="1:15" ht="12.75">
      <c r="A21" s="1" t="s">
        <v>230</v>
      </c>
      <c r="B21" s="6" t="s">
        <v>278</v>
      </c>
      <c r="C21" s="29">
        <v>1227442</v>
      </c>
      <c r="D21" s="7">
        <v>0.171</v>
      </c>
      <c r="E21" s="7">
        <v>-0.001</v>
      </c>
      <c r="F21" s="7">
        <v>0.125</v>
      </c>
      <c r="G21" s="7">
        <v>0.006</v>
      </c>
      <c r="H21" s="7">
        <v>-0.087</v>
      </c>
      <c r="I21" s="7">
        <v>0.048</v>
      </c>
      <c r="J21" s="7">
        <v>0.036</v>
      </c>
      <c r="K21" s="7">
        <v>0.017</v>
      </c>
      <c r="L21" s="42">
        <v>0.034</v>
      </c>
      <c r="M21" s="7">
        <v>-0.549</v>
      </c>
      <c r="N21" s="7">
        <v>-1</v>
      </c>
      <c r="O21" s="7">
        <v>-1</v>
      </c>
    </row>
    <row r="22" spans="1:15" ht="12.75">
      <c r="A22" s="1" t="s">
        <v>221</v>
      </c>
      <c r="B22" s="6" t="s">
        <v>222</v>
      </c>
      <c r="C22" s="29">
        <v>1270062</v>
      </c>
      <c r="D22" s="7">
        <f>21288/18347-1</f>
        <v>0.16029868643374945</v>
      </c>
      <c r="E22" s="7">
        <f>17485/14067-1</f>
        <v>0.24298002417004327</v>
      </c>
      <c r="F22" s="7">
        <f>25228/26033-1</f>
        <v>-0.030922290938424357</v>
      </c>
      <c r="G22" s="7">
        <f>77946/63582-1</f>
        <v>0.22591299424365396</v>
      </c>
      <c r="H22" s="7">
        <f>144253/144473-1</f>
        <v>-0.0015227758819986725</v>
      </c>
      <c r="I22" s="7">
        <f>181608/170127-1</f>
        <v>0.06748487894337751</v>
      </c>
      <c r="J22" s="7">
        <f>256305/225227-1</f>
        <v>0.13798523267636642</v>
      </c>
      <c r="K22" s="7">
        <f>264651/261159-1</f>
        <v>0.01337116469277344</v>
      </c>
      <c r="L22" s="42">
        <f>205936/189515-1</f>
        <v>0.08664749492124635</v>
      </c>
      <c r="M22" s="7">
        <f>109129/103976-1</f>
        <v>0.04955951373393863</v>
      </c>
      <c r="N22" s="7">
        <f>26483/33150-1</f>
        <v>-0.20111613876319756</v>
      </c>
      <c r="O22" s="7">
        <f>19189/20406-1</f>
        <v>-0.05963932176810738</v>
      </c>
    </row>
    <row r="23" spans="1:15" ht="12.75">
      <c r="A23" s="1" t="s">
        <v>221</v>
      </c>
      <c r="B23" s="6" t="s">
        <v>322</v>
      </c>
      <c r="C23" s="29">
        <v>323986</v>
      </c>
      <c r="D23" s="7">
        <v>-0.3454157782515992</v>
      </c>
      <c r="E23" s="7">
        <v>0.1554502369668247</v>
      </c>
      <c r="F23" s="7">
        <v>-0.12247191011235958</v>
      </c>
      <c r="G23" s="7">
        <v>0.733678756476684</v>
      </c>
      <c r="H23" s="7">
        <v>0.11532945245929294</v>
      </c>
      <c r="I23" s="7">
        <v>0.06496493896783284</v>
      </c>
      <c r="J23" s="7">
        <v>0.05278250419428154</v>
      </c>
      <c r="K23" s="7">
        <v>0.07690093892772776</v>
      </c>
      <c r="L23" s="42">
        <v>0.07163512092534186</v>
      </c>
      <c r="M23" s="7">
        <v>0.3317570930811349</v>
      </c>
      <c r="N23" s="7">
        <v>-0.15441722345953968</v>
      </c>
      <c r="O23" s="7">
        <v>-0.06</v>
      </c>
    </row>
    <row r="24" spans="1:15" ht="12.75">
      <c r="A24" s="1" t="s">
        <v>221</v>
      </c>
      <c r="B24" s="6" t="s">
        <v>232</v>
      </c>
      <c r="C24" s="29">
        <v>1219741</v>
      </c>
      <c r="D24" s="7">
        <f>24579/24250-1</f>
        <v>0.013567010309278427</v>
      </c>
      <c r="E24" s="7">
        <f>22809/21799-1</f>
        <v>0.046332400568833476</v>
      </c>
      <c r="F24" s="7">
        <f>29471/29585-1</f>
        <v>-0.0038533040392090268</v>
      </c>
      <c r="G24" s="7">
        <f>65798/48344-1</f>
        <v>0.3610375641237795</v>
      </c>
      <c r="H24" s="7">
        <f>113879/116748-1</f>
        <v>-0.0245742967759619</v>
      </c>
      <c r="I24" s="7">
        <f>172119/158029-1</f>
        <v>0.08916085022369313</v>
      </c>
      <c r="J24" s="7">
        <f>274063/250755-1</f>
        <v>0.092951287112919</v>
      </c>
      <c r="K24" s="7">
        <f>259664/251618-1</f>
        <v>0.03197704456755868</v>
      </c>
      <c r="L24" s="42">
        <f>185546/174280-1</f>
        <v>0.06464310305255916</v>
      </c>
      <c r="M24" s="7">
        <f>95679/88328-1</f>
        <v>0.08322389276333664</v>
      </c>
      <c r="N24" s="7">
        <f>28905/27178-1</f>
        <v>0.06354404297593641</v>
      </c>
      <c r="O24" s="7">
        <f>28099/28827-1</f>
        <v>-0.025254102057099215</v>
      </c>
    </row>
    <row r="25" spans="1:15" ht="12.75">
      <c r="A25" s="1" t="s">
        <v>221</v>
      </c>
      <c r="B25" s="6" t="s">
        <v>321</v>
      </c>
      <c r="C25" s="29">
        <v>275272</v>
      </c>
      <c r="D25" s="7">
        <v>-0.263</v>
      </c>
      <c r="E25" s="7">
        <v>-0.182</v>
      </c>
      <c r="F25" s="7">
        <v>-0.025</v>
      </c>
      <c r="G25" s="7">
        <v>0.795</v>
      </c>
      <c r="H25" s="7">
        <v>0.283</v>
      </c>
      <c r="I25" s="7">
        <v>0.099</v>
      </c>
      <c r="J25" s="7">
        <v>-0.072</v>
      </c>
      <c r="K25" s="7">
        <f>53592/59537-1</f>
        <v>-0.09985387238188015</v>
      </c>
      <c r="L25" s="42">
        <f>39748/40799-1</f>
        <v>-0.02576043530478689</v>
      </c>
      <c r="M25" s="7">
        <v>0.029</v>
      </c>
      <c r="N25" s="7">
        <v>0.056</v>
      </c>
      <c r="O25" s="7">
        <f>2207/2597-1</f>
        <v>-0.15017327685791293</v>
      </c>
    </row>
    <row r="26" spans="1:15" ht="12.75">
      <c r="A26" s="1" t="s">
        <v>221</v>
      </c>
      <c r="B26" s="6" t="s">
        <v>233</v>
      </c>
      <c r="C26" s="29">
        <v>2071561</v>
      </c>
      <c r="D26" s="7">
        <f>138370/125014-1</f>
        <v>0.10683603436415123</v>
      </c>
      <c r="E26" s="7">
        <f>125978/113570-1</f>
        <v>0.1092542044554019</v>
      </c>
      <c r="F26" s="7">
        <f>160113/144481-1</f>
        <v>0.1081941570171856</v>
      </c>
      <c r="G26" s="7">
        <f>191032/141125-1</f>
        <v>0.35363684676705054</v>
      </c>
      <c r="H26" s="7">
        <f>218411/185360-1</f>
        <v>0.1783070781182563</v>
      </c>
      <c r="I26" s="7">
        <f>230174/201096-1</f>
        <v>0.14459760512392084</v>
      </c>
      <c r="J26" s="7">
        <f>256759/234261-1</f>
        <v>0.09603817963724226</v>
      </c>
      <c r="K26" s="7">
        <v>0.079</v>
      </c>
      <c r="L26" s="42">
        <v>0.123</v>
      </c>
      <c r="M26" s="7">
        <f>208569/187579-1</f>
        <v>0.11189951966904621</v>
      </c>
      <c r="N26" s="7">
        <f>157282/152316-1</f>
        <v>0.03260327214475178</v>
      </c>
      <c r="O26" s="7">
        <v>-0.002</v>
      </c>
    </row>
    <row r="27" spans="1:15" ht="12.75">
      <c r="A27" s="1" t="s">
        <v>241</v>
      </c>
      <c r="B27" s="6" t="s">
        <v>242</v>
      </c>
      <c r="C27" s="29">
        <v>5367724</v>
      </c>
      <c r="D27" s="7">
        <v>0.020935254004195825</v>
      </c>
      <c r="E27" s="7">
        <v>0.009731569658061545</v>
      </c>
      <c r="F27" s="7">
        <v>-0.06915194441452122</v>
      </c>
      <c r="G27" s="7">
        <v>0.21749777505071788</v>
      </c>
      <c r="H27" s="7">
        <v>0.0334807026877868</v>
      </c>
      <c r="I27" s="7">
        <v>0.04316494357234646</v>
      </c>
      <c r="J27" s="7">
        <v>0.07472287535380295</v>
      </c>
      <c r="K27" s="7">
        <v>0.011204718652675805</v>
      </c>
      <c r="L27" s="42">
        <v>0.004194806963571773</v>
      </c>
      <c r="M27" s="7">
        <v>0.016443248141140065</v>
      </c>
      <c r="N27" s="7">
        <v>-0.07579044035760418</v>
      </c>
      <c r="O27" s="7">
        <v>-0.06857694913351797</v>
      </c>
    </row>
    <row r="28" spans="1:15" ht="12.75">
      <c r="A28" s="1" t="s">
        <v>241</v>
      </c>
      <c r="B28" s="6" t="s">
        <v>244</v>
      </c>
      <c r="C28" s="29">
        <v>1613546</v>
      </c>
      <c r="D28" s="7">
        <v>-0.09383011770870375</v>
      </c>
      <c r="E28" s="7">
        <v>-0.005611379355343837</v>
      </c>
      <c r="F28" s="7">
        <v>-0.14051061344983073</v>
      </c>
      <c r="G28" s="7">
        <v>0.29685595214469984</v>
      </c>
      <c r="H28" s="7">
        <v>0.0642730522048931</v>
      </c>
      <c r="I28" s="7">
        <v>0.13290550139616908</v>
      </c>
      <c r="J28" s="7">
        <v>0.2041679999174244</v>
      </c>
      <c r="K28" s="7">
        <v>0.156829695474491</v>
      </c>
      <c r="L28" s="42">
        <v>0.07926154879228964</v>
      </c>
      <c r="M28" s="7">
        <v>0.03903250704168881</v>
      </c>
      <c r="N28" s="7">
        <v>0.1448443689869836</v>
      </c>
      <c r="O28" s="7">
        <v>0.13146638394326038</v>
      </c>
    </row>
    <row r="29" spans="1:15" ht="12.75">
      <c r="A29" s="1" t="s">
        <v>224</v>
      </c>
      <c r="B29" s="6" t="s">
        <v>225</v>
      </c>
      <c r="C29" s="29">
        <v>11556858</v>
      </c>
      <c r="D29" s="7">
        <v>-0.0455</v>
      </c>
      <c r="E29" s="7">
        <v>-0.0363</v>
      </c>
      <c r="F29" s="7">
        <v>-0.0285</v>
      </c>
      <c r="G29" s="7">
        <v>0.2764</v>
      </c>
      <c r="H29" s="7">
        <v>0.0725</v>
      </c>
      <c r="I29" s="7">
        <v>0.061</v>
      </c>
      <c r="J29" s="7">
        <v>0.0274</v>
      </c>
      <c r="K29" s="7">
        <v>0.002</v>
      </c>
      <c r="L29" s="42">
        <v>-0.001</v>
      </c>
      <c r="M29" s="7">
        <v>-0.046</v>
      </c>
      <c r="N29" s="7">
        <v>-0.0476</v>
      </c>
      <c r="O29" s="7">
        <v>0.006</v>
      </c>
    </row>
    <row r="30" spans="1:15" ht="12.75">
      <c r="A30" s="1" t="s">
        <v>153</v>
      </c>
      <c r="B30" s="6" t="s">
        <v>319</v>
      </c>
      <c r="C30" s="29">
        <v>1343354</v>
      </c>
      <c r="D30" s="7">
        <f>97838/89468-1</f>
        <v>0.09355300219072737</v>
      </c>
      <c r="E30" s="7">
        <f>98828/95810-1</f>
        <v>0.031499843440141895</v>
      </c>
      <c r="F30" s="7">
        <f>114546/116528-1</f>
        <v>-0.01700878758753266</v>
      </c>
      <c r="G30" s="7">
        <f>105180/77384-1</f>
        <v>0.3591956993693788</v>
      </c>
      <c r="H30" s="7">
        <f>124760/125322-1</f>
        <v>-0.004484448061792823</v>
      </c>
      <c r="I30" s="7">
        <f>130316/131810-1</f>
        <v>-0.01133449662392838</v>
      </c>
      <c r="J30" s="7">
        <f>126589/121092-1</f>
        <v>0.04539523667954937</v>
      </c>
      <c r="K30" s="7">
        <f>120376/123738-1</f>
        <v>-0.02717031146454607</v>
      </c>
      <c r="L30" s="42">
        <f>130654/129744-1</f>
        <v>0.00701381181403371</v>
      </c>
      <c r="M30" s="7">
        <f>124340/124874-1</f>
        <v>-0.004276310521005189</v>
      </c>
      <c r="N30" s="7">
        <f>116225/111732-1</f>
        <v>0.04021229370278889</v>
      </c>
      <c r="O30" s="7">
        <f>102208/95852-1</f>
        <v>0.06631056211659647</v>
      </c>
    </row>
    <row r="31" spans="1:15" ht="12.75">
      <c r="A31" s="1" t="s">
        <v>153</v>
      </c>
      <c r="B31" s="6" t="s">
        <v>320</v>
      </c>
      <c r="C31" s="29">
        <v>561542</v>
      </c>
      <c r="D31" s="7">
        <v>0.089</v>
      </c>
      <c r="E31" s="7">
        <v>0.022</v>
      </c>
      <c r="F31" s="7">
        <v>0.139</v>
      </c>
      <c r="G31" s="7">
        <v>0.56</v>
      </c>
      <c r="H31" s="7">
        <v>0.096</v>
      </c>
      <c r="I31" s="7">
        <v>0.0094</v>
      </c>
      <c r="J31" s="7">
        <v>0.036</v>
      </c>
      <c r="K31" s="7">
        <v>-0.007</v>
      </c>
      <c r="L31" s="42">
        <v>-0.014</v>
      </c>
      <c r="M31" s="7">
        <v>-0.09</v>
      </c>
      <c r="N31" s="7">
        <v>0</v>
      </c>
      <c r="O31" s="7">
        <v>-0.024</v>
      </c>
    </row>
    <row r="32" spans="1:15" ht="12.75">
      <c r="A32" s="1" t="s">
        <v>153</v>
      </c>
      <c r="B32" s="6" t="s">
        <v>176</v>
      </c>
      <c r="C32" s="29">
        <v>2574340</v>
      </c>
      <c r="D32" s="7">
        <v>0.064</v>
      </c>
      <c r="E32" s="7">
        <v>-0.028</v>
      </c>
      <c r="F32" s="7">
        <v>-0.039</v>
      </c>
      <c r="G32" s="7">
        <v>0.591</v>
      </c>
      <c r="H32" s="7">
        <v>0.06</v>
      </c>
      <c r="I32" s="7">
        <v>0.06</v>
      </c>
      <c r="J32" s="7">
        <v>0.033</v>
      </c>
      <c r="K32" s="7">
        <v>-0.011</v>
      </c>
      <c r="L32" s="42">
        <v>0.045</v>
      </c>
      <c r="M32" s="7">
        <v>-0.009</v>
      </c>
      <c r="N32" s="7">
        <v>0.019</v>
      </c>
      <c r="O32" s="7">
        <v>0.057</v>
      </c>
    </row>
    <row r="33" spans="1:15" ht="12.75">
      <c r="A33" s="1" t="s">
        <v>153</v>
      </c>
      <c r="B33" s="6" t="s">
        <v>154</v>
      </c>
      <c r="C33" s="29">
        <v>21501750</v>
      </c>
      <c r="D33" s="7">
        <v>0.085</v>
      </c>
      <c r="E33" s="7">
        <v>0.055</v>
      </c>
      <c r="F33" s="7">
        <v>0.001</v>
      </c>
      <c r="G33" s="7">
        <v>0.39</v>
      </c>
      <c r="H33" s="7">
        <v>0.071</v>
      </c>
      <c r="I33" s="7">
        <v>0.029</v>
      </c>
      <c r="J33" s="7">
        <v>0.03</v>
      </c>
      <c r="K33" s="7">
        <v>0.007</v>
      </c>
      <c r="L33" s="42">
        <v>0.041</v>
      </c>
      <c r="M33" s="7">
        <v>0.002</v>
      </c>
      <c r="N33" s="7">
        <v>0.043</v>
      </c>
      <c r="O33" s="7">
        <v>0.051</v>
      </c>
    </row>
    <row r="34" spans="1:15" ht="12.75">
      <c r="A34" s="1" t="s">
        <v>228</v>
      </c>
      <c r="B34" s="6" t="s">
        <v>229</v>
      </c>
      <c r="C34" s="29">
        <v>1384831</v>
      </c>
      <c r="D34" s="7">
        <v>0.256</v>
      </c>
      <c r="E34" s="7">
        <v>0.242</v>
      </c>
      <c r="F34" s="7">
        <v>0.256</v>
      </c>
      <c r="G34" s="7">
        <v>0.686</v>
      </c>
      <c r="H34" s="7">
        <v>0.449</v>
      </c>
      <c r="I34" s="7">
        <v>0.343</v>
      </c>
      <c r="J34" s="7">
        <v>0.399</v>
      </c>
      <c r="K34" s="7">
        <v>0.4</v>
      </c>
      <c r="L34" s="42">
        <v>0.389</v>
      </c>
      <c r="M34" s="7">
        <v>0.37</v>
      </c>
      <c r="N34" s="7">
        <v>0.396</v>
      </c>
      <c r="O34" s="7">
        <v>0.384</v>
      </c>
    </row>
    <row r="35" spans="1:15" ht="12.75">
      <c r="A35" s="1" t="s">
        <v>163</v>
      </c>
      <c r="B35" s="6" t="s">
        <v>66</v>
      </c>
      <c r="C35" s="29">
        <v>16417198</v>
      </c>
      <c r="D35" s="7">
        <v>0.094</v>
      </c>
      <c r="E35" s="7">
        <v>0.072</v>
      </c>
      <c r="F35" s="7">
        <v>0.058</v>
      </c>
      <c r="G35" s="7">
        <v>0.611</v>
      </c>
      <c r="H35" s="7">
        <v>0.192</v>
      </c>
      <c r="I35" s="7">
        <v>0.161</v>
      </c>
      <c r="J35" s="7">
        <v>0.178</v>
      </c>
      <c r="K35" s="7">
        <v>0.133</v>
      </c>
      <c r="L35" s="42">
        <v>0.123</v>
      </c>
      <c r="M35" s="7">
        <v>0.105</v>
      </c>
      <c r="N35" s="7">
        <v>0.064</v>
      </c>
      <c r="O35" s="7">
        <v>0.257</v>
      </c>
    </row>
    <row r="36" spans="1:15" ht="12.75">
      <c r="A36" s="1" t="s">
        <v>163</v>
      </c>
      <c r="B36" s="6" t="s">
        <v>164</v>
      </c>
      <c r="C36" s="29">
        <v>12837700</v>
      </c>
      <c r="D36" s="7">
        <v>0.101</v>
      </c>
      <c r="E36" s="7">
        <v>0.082</v>
      </c>
      <c r="F36" s="7">
        <v>0.057</v>
      </c>
      <c r="G36" s="7">
        <v>0.582</v>
      </c>
      <c r="H36" s="7">
        <v>0.175</v>
      </c>
      <c r="I36" s="7">
        <v>0.156</v>
      </c>
      <c r="J36" s="7">
        <v>0.175</v>
      </c>
      <c r="K36" s="7">
        <v>0.129</v>
      </c>
      <c r="L36" s="42">
        <v>0.112</v>
      </c>
      <c r="M36" s="7">
        <v>0.096</v>
      </c>
      <c r="N36" s="7">
        <v>0.055</v>
      </c>
      <c r="O36" s="7">
        <v>0.266</v>
      </c>
    </row>
    <row r="37" spans="1:15" ht="12.75">
      <c r="A37" s="1" t="s">
        <v>163</v>
      </c>
      <c r="B37" s="6" t="s">
        <v>285</v>
      </c>
      <c r="C37" s="29">
        <v>111916</v>
      </c>
      <c r="D37" s="7">
        <v>-0.075</v>
      </c>
      <c r="E37" s="7">
        <v>-0.046</v>
      </c>
      <c r="F37" s="7">
        <v>-0.019</v>
      </c>
      <c r="G37" s="7">
        <v>0.365</v>
      </c>
      <c r="H37" s="7">
        <v>0.022</v>
      </c>
      <c r="I37" s="7">
        <v>0.065</v>
      </c>
      <c r="J37" s="7">
        <v>0.118</v>
      </c>
      <c r="K37" s="7">
        <v>0.071</v>
      </c>
      <c r="L37" s="42">
        <v>0.003</v>
      </c>
      <c r="M37" s="7">
        <v>-0.196</v>
      </c>
      <c r="N37" s="7">
        <v>0.076</v>
      </c>
      <c r="O37" s="7">
        <v>0.541</v>
      </c>
    </row>
    <row r="38" spans="1:15" ht="12.75">
      <c r="A38" s="1" t="s">
        <v>163</v>
      </c>
      <c r="B38" s="6" t="s">
        <v>286</v>
      </c>
      <c r="C38" s="29">
        <v>118778</v>
      </c>
      <c r="D38" s="7">
        <v>-0.145</v>
      </c>
      <c r="E38" s="7">
        <v>-0.089</v>
      </c>
      <c r="F38" s="7">
        <v>-0.17</v>
      </c>
      <c r="G38" s="7">
        <v>0.354</v>
      </c>
      <c r="H38" s="7">
        <v>0.168</v>
      </c>
      <c r="I38" s="7">
        <v>-0.137</v>
      </c>
      <c r="J38" s="7">
        <v>-0.213</v>
      </c>
      <c r="K38" s="7">
        <v>-0.238</v>
      </c>
      <c r="L38" s="42">
        <v>-0.001</v>
      </c>
      <c r="M38" s="7">
        <v>-0.173</v>
      </c>
      <c r="N38" s="7">
        <v>0.101</v>
      </c>
      <c r="O38" s="7">
        <v>0.707</v>
      </c>
    </row>
    <row r="39" spans="1:15" ht="12.75">
      <c r="A39" s="1" t="s">
        <v>163</v>
      </c>
      <c r="B39" s="6" t="s">
        <v>287</v>
      </c>
      <c r="C39" s="29">
        <v>211548</v>
      </c>
      <c r="D39" s="7">
        <v>0.174</v>
      </c>
      <c r="E39" s="7">
        <v>0.102</v>
      </c>
      <c r="F39" s="7">
        <v>0.037</v>
      </c>
      <c r="G39" s="7">
        <v>0.655</v>
      </c>
      <c r="H39" s="7">
        <v>-0.102</v>
      </c>
      <c r="I39" s="7">
        <v>0.096</v>
      </c>
      <c r="J39" s="7">
        <v>0.036</v>
      </c>
      <c r="K39" s="7">
        <v>-0.111</v>
      </c>
      <c r="L39" s="42">
        <v>-0.061</v>
      </c>
      <c r="M39" s="7">
        <v>0.107</v>
      </c>
      <c r="N39" s="7">
        <v>-0.21</v>
      </c>
      <c r="O39" s="7">
        <v>0.044</v>
      </c>
    </row>
    <row r="40" spans="1:15" ht="12.75">
      <c r="A40" s="1" t="s">
        <v>163</v>
      </c>
      <c r="B40" s="6" t="s">
        <v>288</v>
      </c>
      <c r="C40" s="29">
        <v>253424</v>
      </c>
      <c r="D40" s="7">
        <v>0.105</v>
      </c>
      <c r="E40" s="7">
        <v>-0.065</v>
      </c>
      <c r="F40" s="7">
        <v>0.057</v>
      </c>
      <c r="G40" s="7">
        <v>0.935</v>
      </c>
      <c r="H40" s="7">
        <v>0.347</v>
      </c>
      <c r="I40" s="7">
        <v>0.178</v>
      </c>
      <c r="J40" s="7">
        <v>-0.093</v>
      </c>
      <c r="K40" s="7">
        <v>0.059</v>
      </c>
      <c r="L40" s="42">
        <v>0.105</v>
      </c>
      <c r="M40" s="7">
        <v>0.011</v>
      </c>
      <c r="N40" s="7">
        <v>-0.061</v>
      </c>
      <c r="O40" s="7">
        <v>0.203</v>
      </c>
    </row>
    <row r="41" spans="1:15" ht="12.75">
      <c r="A41" s="1" t="s">
        <v>163</v>
      </c>
      <c r="B41" s="6" t="s">
        <v>195</v>
      </c>
      <c r="C41" s="29">
        <v>699917</v>
      </c>
      <c r="D41" s="7">
        <v>0.149</v>
      </c>
      <c r="E41" s="7">
        <v>0.091</v>
      </c>
      <c r="F41" s="7">
        <v>0.095</v>
      </c>
      <c r="G41" s="7">
        <v>1.142</v>
      </c>
      <c r="H41" s="7">
        <v>0.422</v>
      </c>
      <c r="I41" s="7">
        <v>0.449</v>
      </c>
      <c r="J41" s="7">
        <v>0.723</v>
      </c>
      <c r="K41" s="7">
        <v>0.485</v>
      </c>
      <c r="L41" s="42">
        <v>0.392</v>
      </c>
      <c r="M41" s="7">
        <v>0.361</v>
      </c>
      <c r="N41" s="7">
        <v>0.279</v>
      </c>
      <c r="O41" s="7">
        <v>0.558</v>
      </c>
    </row>
    <row r="42" spans="1:15" ht="12.75">
      <c r="A42" s="1" t="s">
        <v>163</v>
      </c>
      <c r="B42" s="6" t="s">
        <v>289</v>
      </c>
      <c r="C42" s="29">
        <v>309253</v>
      </c>
      <c r="D42" s="7">
        <v>0.059</v>
      </c>
      <c r="E42" s="7">
        <v>0.063</v>
      </c>
      <c r="F42" s="7">
        <v>0.081</v>
      </c>
      <c r="G42" s="7">
        <v>0.864</v>
      </c>
      <c r="H42" s="7">
        <v>0.389</v>
      </c>
      <c r="I42" s="7">
        <v>0.437</v>
      </c>
      <c r="J42" s="7">
        <v>0.671</v>
      </c>
      <c r="K42" s="7">
        <v>0.439</v>
      </c>
      <c r="L42" s="42">
        <v>0.352</v>
      </c>
      <c r="M42" s="7">
        <v>0.333</v>
      </c>
      <c r="N42" s="7">
        <v>0.27</v>
      </c>
      <c r="O42" s="7">
        <v>0.156</v>
      </c>
    </row>
    <row r="43" spans="1:15" ht="12.75">
      <c r="A43" s="1" t="s">
        <v>163</v>
      </c>
      <c r="B43" s="6" t="s">
        <v>196</v>
      </c>
      <c r="C43" s="29">
        <v>616150</v>
      </c>
      <c r="D43" s="7">
        <v>-0.101</v>
      </c>
      <c r="E43" s="7">
        <v>0.058</v>
      </c>
      <c r="F43" s="7">
        <v>0.141</v>
      </c>
      <c r="G43" s="7">
        <v>0.586</v>
      </c>
      <c r="H43" s="7">
        <v>0.101</v>
      </c>
      <c r="I43" s="7">
        <v>0.083</v>
      </c>
      <c r="J43" s="7">
        <v>0.038</v>
      </c>
      <c r="K43" s="7">
        <v>-0.018</v>
      </c>
      <c r="L43" s="42">
        <v>0.014</v>
      </c>
      <c r="M43" s="7">
        <v>0.042</v>
      </c>
      <c r="N43" s="7">
        <v>-0.076</v>
      </c>
      <c r="O43" s="7">
        <v>-0.047</v>
      </c>
    </row>
    <row r="44" spans="1:15" ht="12.75">
      <c r="A44" s="1" t="s">
        <v>163</v>
      </c>
      <c r="B44" s="6" t="s">
        <v>197</v>
      </c>
      <c r="C44" s="29">
        <v>365742</v>
      </c>
      <c r="D44" s="7">
        <v>0.131</v>
      </c>
      <c r="E44" s="7">
        <v>0.008</v>
      </c>
      <c r="F44" s="7">
        <v>-0.054</v>
      </c>
      <c r="G44" s="7">
        <v>0.358</v>
      </c>
      <c r="H44" s="7">
        <v>0.056</v>
      </c>
      <c r="I44" s="7">
        <v>0.029</v>
      </c>
      <c r="J44" s="7">
        <v>0.014</v>
      </c>
      <c r="K44" s="7">
        <v>-0.007</v>
      </c>
      <c r="L44" s="42">
        <v>-0.038</v>
      </c>
      <c r="M44" s="7">
        <v>-0.048</v>
      </c>
      <c r="N44" s="7">
        <v>0.087</v>
      </c>
      <c r="O44" s="7">
        <v>0.222</v>
      </c>
    </row>
    <row r="45" spans="1:15" ht="12.75">
      <c r="A45" s="1" t="s">
        <v>163</v>
      </c>
      <c r="B45" s="6" t="s">
        <v>261</v>
      </c>
      <c r="C45" s="29">
        <v>287856</v>
      </c>
      <c r="D45" s="7">
        <v>0.064</v>
      </c>
      <c r="E45" s="7">
        <v>0.094</v>
      </c>
      <c r="F45" s="7">
        <v>0.124</v>
      </c>
      <c r="G45" s="7">
        <v>0.762</v>
      </c>
      <c r="H45" s="7">
        <v>0.313</v>
      </c>
      <c r="I45" s="7">
        <v>0.129</v>
      </c>
      <c r="J45" s="7">
        <v>-0.104</v>
      </c>
      <c r="K45" s="7">
        <v>0.095</v>
      </c>
      <c r="L45" s="42">
        <v>0.16</v>
      </c>
      <c r="M45" s="7">
        <v>0.093</v>
      </c>
      <c r="N45" s="7">
        <v>0.157</v>
      </c>
      <c r="O45" s="7">
        <v>0.347</v>
      </c>
    </row>
    <row r="46" spans="1:15" ht="12.75">
      <c r="A46" s="36" t="s">
        <v>78</v>
      </c>
      <c r="B46" s="48" t="s">
        <v>393</v>
      </c>
      <c r="C46" s="29">
        <v>1114413.2701421801</v>
      </c>
      <c r="D46" s="7">
        <v>0.027</v>
      </c>
      <c r="E46" s="7">
        <v>0.064</v>
      </c>
      <c r="F46" s="7">
        <v>0.009</v>
      </c>
      <c r="G46" s="7">
        <v>0.364</v>
      </c>
      <c r="H46" s="7">
        <v>-0.017</v>
      </c>
      <c r="I46" s="7">
        <v>0.122</v>
      </c>
      <c r="J46" s="47"/>
      <c r="K46" s="7"/>
      <c r="L46" s="7"/>
      <c r="M46" s="7"/>
      <c r="N46" s="7">
        <v>0.003</v>
      </c>
      <c r="O46" s="7">
        <v>0.001</v>
      </c>
    </row>
    <row r="47" spans="1:15" ht="12.75">
      <c r="A47" s="1" t="s">
        <v>78</v>
      </c>
      <c r="B47" s="6" t="s">
        <v>318</v>
      </c>
      <c r="C47" s="29">
        <v>1007408</v>
      </c>
      <c r="D47" s="7">
        <v>-0.031</v>
      </c>
      <c r="E47" s="7">
        <v>0.027</v>
      </c>
      <c r="F47" s="7">
        <v>-0.0775</v>
      </c>
      <c r="G47" s="7">
        <v>0.2814</v>
      </c>
      <c r="H47" s="7">
        <v>-0.0992</v>
      </c>
      <c r="I47" s="7">
        <v>0.0317</v>
      </c>
      <c r="J47" s="7">
        <v>0.0693</v>
      </c>
      <c r="K47" s="7">
        <v>-0.0043</v>
      </c>
      <c r="L47" s="42">
        <v>0.0294</v>
      </c>
      <c r="M47" s="7">
        <v>0.0104</v>
      </c>
      <c r="N47" s="7">
        <v>-0.022</v>
      </c>
      <c r="O47" s="7">
        <v>0.0011</v>
      </c>
    </row>
    <row r="48" spans="1:15" ht="12.75">
      <c r="A48" s="1" t="s">
        <v>78</v>
      </c>
      <c r="B48" s="6" t="s">
        <v>355</v>
      </c>
      <c r="C48" s="29">
        <v>989622</v>
      </c>
      <c r="D48" s="7">
        <v>0.0033</v>
      </c>
      <c r="E48" s="7">
        <v>0.2271</v>
      </c>
      <c r="F48" s="7">
        <v>-0.028</v>
      </c>
      <c r="G48" s="7">
        <v>0.235</v>
      </c>
      <c r="H48" s="7">
        <v>-0.0298</v>
      </c>
      <c r="I48" s="7">
        <v>0.0184</v>
      </c>
      <c r="J48" s="7">
        <v>0.0205</v>
      </c>
      <c r="K48" s="7">
        <v>-0.012</v>
      </c>
      <c r="L48" s="42">
        <v>0.0663</v>
      </c>
      <c r="M48" s="7">
        <v>0.0122</v>
      </c>
      <c r="N48" s="7">
        <v>-0.032</v>
      </c>
      <c r="O48" s="7">
        <v>0.1141</v>
      </c>
    </row>
    <row r="49" spans="1:15" ht="12.75">
      <c r="A49" s="1" t="s">
        <v>78</v>
      </c>
      <c r="B49" s="1" t="s">
        <v>74</v>
      </c>
      <c r="C49" s="29">
        <v>3663702</v>
      </c>
      <c r="D49" s="7">
        <v>0.217</v>
      </c>
      <c r="E49" s="7">
        <v>0.215</v>
      </c>
      <c r="F49" s="7">
        <v>0.119</v>
      </c>
      <c r="G49" s="7">
        <v>0.28</v>
      </c>
      <c r="H49" s="7">
        <v>0.079</v>
      </c>
      <c r="I49" s="7">
        <v>0.09</v>
      </c>
      <c r="J49" s="7">
        <v>0.061</v>
      </c>
      <c r="K49" s="7">
        <v>0.016</v>
      </c>
      <c r="L49" s="42">
        <v>0.118</v>
      </c>
      <c r="M49" s="7">
        <v>0.09</v>
      </c>
      <c r="N49" s="7">
        <v>0.1</v>
      </c>
      <c r="O49" s="7">
        <v>0.197</v>
      </c>
    </row>
    <row r="50" spans="1:15" ht="12.75">
      <c r="A50" s="1" t="s">
        <v>78</v>
      </c>
      <c r="B50" s="6" t="s">
        <v>260</v>
      </c>
      <c r="C50" s="29">
        <v>919402</v>
      </c>
      <c r="D50" s="13">
        <v>0.279</v>
      </c>
      <c r="E50" s="13">
        <v>0.034</v>
      </c>
      <c r="F50" s="13">
        <v>0.032</v>
      </c>
      <c r="G50" s="13">
        <v>0.257</v>
      </c>
      <c r="H50" s="13">
        <v>0.153</v>
      </c>
      <c r="I50" s="13">
        <v>0.035</v>
      </c>
      <c r="J50" s="13">
        <v>0.064</v>
      </c>
      <c r="K50" s="13">
        <v>-0.037</v>
      </c>
      <c r="L50" s="13">
        <v>0.019</v>
      </c>
      <c r="M50" s="13">
        <v>0.081</v>
      </c>
      <c r="N50" s="7">
        <v>-0.006</v>
      </c>
      <c r="O50" s="7">
        <v>0.122</v>
      </c>
    </row>
    <row r="51" spans="1:15" ht="12.75">
      <c r="A51" s="36" t="s">
        <v>78</v>
      </c>
      <c r="B51" s="36" t="s">
        <v>397</v>
      </c>
      <c r="C51" s="29">
        <v>231910.43307086613</v>
      </c>
      <c r="D51" s="7"/>
      <c r="E51" s="7"/>
      <c r="F51" s="7">
        <v>-0.144</v>
      </c>
      <c r="G51" s="7">
        <v>0.263</v>
      </c>
      <c r="H51" s="7">
        <v>0.007</v>
      </c>
      <c r="I51" s="7">
        <v>-0.381</v>
      </c>
      <c r="J51" s="7">
        <v>-0.4</v>
      </c>
      <c r="K51" s="7">
        <v>-0.359</v>
      </c>
      <c r="L51" s="7">
        <v>-0.702</v>
      </c>
      <c r="M51" s="7">
        <v>-0.278</v>
      </c>
      <c r="N51" s="7">
        <v>0.41</v>
      </c>
      <c r="O51" s="7">
        <v>0.261</v>
      </c>
    </row>
    <row r="52" spans="1:15" ht="12.75">
      <c r="A52" s="1" t="s">
        <v>78</v>
      </c>
      <c r="B52" s="6" t="s">
        <v>333</v>
      </c>
      <c r="C52" s="29">
        <v>377330</v>
      </c>
      <c r="D52" s="13">
        <v>0.09209630252774104</v>
      </c>
      <c r="E52" s="13">
        <v>0.15329239028755026</v>
      </c>
      <c r="F52" s="13">
        <v>-0.07846561144595277</v>
      </c>
      <c r="G52" s="13">
        <v>0.1286831233568917</v>
      </c>
      <c r="H52" s="13">
        <v>0.2016670114976502</v>
      </c>
      <c r="I52" s="13">
        <v>-0.010872966207759682</v>
      </c>
      <c r="J52" s="13">
        <v>0.06867473628527865</v>
      </c>
      <c r="K52" s="13">
        <v>0.08115446940831261</v>
      </c>
      <c r="L52" s="13">
        <v>0.053937961254612476</v>
      </c>
      <c r="M52" s="13">
        <v>0.06103186646433989</v>
      </c>
      <c r="N52" s="7">
        <v>0.053520941547767764</v>
      </c>
      <c r="O52" s="7"/>
    </row>
    <row r="53" spans="1:15" ht="12.75">
      <c r="A53" s="1" t="s">
        <v>78</v>
      </c>
      <c r="B53" s="6" t="s">
        <v>359</v>
      </c>
      <c r="C53" s="29">
        <v>122254</v>
      </c>
      <c r="D53" s="13">
        <v>0.14</v>
      </c>
      <c r="E53" s="13">
        <v>0.142</v>
      </c>
      <c r="F53" s="13">
        <v>0.138</v>
      </c>
      <c r="G53" s="13">
        <v>0.383</v>
      </c>
      <c r="H53" s="13">
        <v>0.15</v>
      </c>
      <c r="I53" s="13">
        <v>0.105</v>
      </c>
      <c r="J53" s="13">
        <v>-0.071</v>
      </c>
      <c r="K53" s="13">
        <v>-0.128</v>
      </c>
      <c r="L53" s="13">
        <v>0.215</v>
      </c>
      <c r="M53" s="13">
        <v>0.081</v>
      </c>
      <c r="N53" s="7">
        <v>-0.034</v>
      </c>
      <c r="O53" s="7">
        <v>0.461</v>
      </c>
    </row>
    <row r="54" spans="1:15" ht="12.75">
      <c r="A54" s="1" t="s">
        <v>78</v>
      </c>
      <c r="B54" s="6" t="s">
        <v>262</v>
      </c>
      <c r="C54" s="29">
        <v>1170693</v>
      </c>
      <c r="D54" s="13">
        <v>0.009</v>
      </c>
      <c r="E54" s="13">
        <v>-0.071</v>
      </c>
      <c r="F54" s="13">
        <v>-0.122</v>
      </c>
      <c r="G54" s="13">
        <v>0.216</v>
      </c>
      <c r="H54" s="13">
        <v>-0.011</v>
      </c>
      <c r="I54" s="13">
        <v>-0.051</v>
      </c>
      <c r="J54" s="13">
        <v>-0.017</v>
      </c>
      <c r="K54" s="13">
        <v>-0.093</v>
      </c>
      <c r="L54" s="13">
        <v>0.062</v>
      </c>
      <c r="M54" s="13">
        <v>0.033</v>
      </c>
      <c r="N54" s="7">
        <v>0.071</v>
      </c>
      <c r="O54" s="7">
        <v>-0.06</v>
      </c>
    </row>
    <row r="55" spans="1:15" ht="12.75">
      <c r="A55" s="1" t="s">
        <v>78</v>
      </c>
      <c r="B55" s="1" t="s">
        <v>70</v>
      </c>
      <c r="C55" s="29">
        <v>7979228</v>
      </c>
      <c r="D55" s="7">
        <v>0.19</v>
      </c>
      <c r="E55" s="7">
        <v>0.078</v>
      </c>
      <c r="F55" s="7">
        <v>0.11</v>
      </c>
      <c r="G55" s="7">
        <v>0.19</v>
      </c>
      <c r="H55" s="7">
        <v>0.109</v>
      </c>
      <c r="I55" s="7">
        <v>0.025</v>
      </c>
      <c r="J55" s="13">
        <v>0.033</v>
      </c>
      <c r="K55" s="13">
        <v>-0.02</v>
      </c>
      <c r="L55" s="42">
        <v>0.065</v>
      </c>
      <c r="M55" s="7">
        <v>0.003</v>
      </c>
      <c r="N55" s="7">
        <v>-0.012</v>
      </c>
      <c r="O55" s="7">
        <v>-0.026</v>
      </c>
    </row>
    <row r="56" spans="1:15" ht="12.75">
      <c r="A56" s="1" t="s">
        <v>78</v>
      </c>
      <c r="B56" s="1" t="s">
        <v>71</v>
      </c>
      <c r="C56" s="29">
        <v>7524886</v>
      </c>
      <c r="D56" s="7">
        <v>0.011</v>
      </c>
      <c r="E56" s="7">
        <v>-0.057</v>
      </c>
      <c r="F56" s="7">
        <v>-0.027</v>
      </c>
      <c r="G56" s="7">
        <v>0.026</v>
      </c>
      <c r="H56" s="7">
        <v>-0.03</v>
      </c>
      <c r="I56" s="7">
        <v>-0.02</v>
      </c>
      <c r="J56" s="13">
        <v>-0.052</v>
      </c>
      <c r="K56" s="13">
        <v>-0.11</v>
      </c>
      <c r="L56" s="42">
        <v>-0.005</v>
      </c>
      <c r="M56" s="7">
        <v>0.021</v>
      </c>
      <c r="N56" s="7">
        <v>-0.007</v>
      </c>
      <c r="O56" s="7">
        <v>0.035</v>
      </c>
    </row>
    <row r="57" spans="1:15" ht="12.75">
      <c r="A57" s="1" t="s">
        <v>78</v>
      </c>
      <c r="B57" s="6" t="s">
        <v>237</v>
      </c>
      <c r="C57" s="29">
        <v>1180463</v>
      </c>
      <c r="D57" s="7">
        <v>0.1483</v>
      </c>
      <c r="E57" s="7">
        <v>0.0581</v>
      </c>
      <c r="F57" s="7">
        <v>0.0395</v>
      </c>
      <c r="G57" s="7">
        <v>0.2615</v>
      </c>
      <c r="H57" s="7">
        <v>0.091</v>
      </c>
      <c r="I57" s="7">
        <v>0.0679</v>
      </c>
      <c r="J57" s="7">
        <v>0.1045</v>
      </c>
      <c r="K57" s="7">
        <v>0.1131</v>
      </c>
      <c r="L57" s="42">
        <v>0.186</v>
      </c>
      <c r="M57" s="7">
        <v>0.0667</v>
      </c>
      <c r="N57" s="7">
        <v>0.047</v>
      </c>
      <c r="O57" s="7">
        <v>0.1891</v>
      </c>
    </row>
    <row r="58" spans="1:15" ht="12.75">
      <c r="A58" s="1" t="s">
        <v>78</v>
      </c>
      <c r="B58" s="1" t="s">
        <v>75</v>
      </c>
      <c r="C58" s="29">
        <v>3024327</v>
      </c>
      <c r="D58" s="7">
        <v>0.065</v>
      </c>
      <c r="E58" s="7">
        <v>-0.0083</v>
      </c>
      <c r="F58" s="7">
        <v>0.0955</v>
      </c>
      <c r="G58" s="7">
        <v>0.119</v>
      </c>
      <c r="H58" s="7">
        <v>0.083</v>
      </c>
      <c r="I58" s="7">
        <v>0.0499</v>
      </c>
      <c r="J58" s="7">
        <v>0.0741</v>
      </c>
      <c r="K58" s="7">
        <v>0.0179</v>
      </c>
      <c r="L58" s="42">
        <v>0.1012</v>
      </c>
      <c r="M58" s="7">
        <v>0.0456</v>
      </c>
      <c r="N58" s="7">
        <v>0.072</v>
      </c>
      <c r="O58" s="7">
        <v>0.15</v>
      </c>
    </row>
    <row r="59" spans="1:15" ht="12.75">
      <c r="A59" s="1" t="s">
        <v>78</v>
      </c>
      <c r="B59" s="1" t="s">
        <v>69</v>
      </c>
      <c r="C59" s="29">
        <v>9603014</v>
      </c>
      <c r="D59" s="7">
        <v>0.079</v>
      </c>
      <c r="E59" s="7">
        <v>0.094</v>
      </c>
      <c r="F59" s="7">
        <v>0.066</v>
      </c>
      <c r="G59" s="7">
        <v>0.276</v>
      </c>
      <c r="H59" s="7">
        <v>0.051</v>
      </c>
      <c r="I59" s="7">
        <v>0.091</v>
      </c>
      <c r="J59" s="13">
        <v>0.08</v>
      </c>
      <c r="K59" s="13">
        <v>0.044</v>
      </c>
      <c r="L59" s="42">
        <v>0.104</v>
      </c>
      <c r="M59" s="7">
        <v>0.064</v>
      </c>
      <c r="N59" s="7">
        <v>0.008</v>
      </c>
      <c r="O59" s="7">
        <v>0.088</v>
      </c>
    </row>
    <row r="60" spans="1:15" ht="12.75">
      <c r="A60" s="1" t="s">
        <v>78</v>
      </c>
      <c r="B60" s="1" t="s">
        <v>77</v>
      </c>
      <c r="C60" s="29">
        <v>2931796</v>
      </c>
      <c r="D60" s="7">
        <v>0.22</v>
      </c>
      <c r="E60" s="7">
        <v>0.165</v>
      </c>
      <c r="F60" s="7">
        <v>0.22</v>
      </c>
      <c r="G60" s="7">
        <v>0.802</v>
      </c>
      <c r="H60" s="7">
        <v>0.285</v>
      </c>
      <c r="I60" s="7">
        <v>0.275</v>
      </c>
      <c r="J60" s="7">
        <v>0.261</v>
      </c>
      <c r="K60" s="7">
        <v>0.256</v>
      </c>
      <c r="L60" s="42">
        <v>0.292</v>
      </c>
      <c r="M60" s="7">
        <v>0.304</v>
      </c>
      <c r="N60" s="7">
        <v>-0.026</v>
      </c>
      <c r="O60" s="7">
        <v>0.116</v>
      </c>
    </row>
    <row r="61" spans="1:15" ht="12.75">
      <c r="A61" s="1" t="s">
        <v>78</v>
      </c>
      <c r="B61" s="1" t="s">
        <v>67</v>
      </c>
      <c r="C61" s="29">
        <v>58164612</v>
      </c>
      <c r="D61" s="7">
        <v>0.039</v>
      </c>
      <c r="E61" s="7">
        <v>0.046</v>
      </c>
      <c r="F61" s="7">
        <v>0.001</v>
      </c>
      <c r="G61" s="7">
        <v>0.269</v>
      </c>
      <c r="H61" s="7">
        <v>0.018</v>
      </c>
      <c r="I61" s="7">
        <v>0.032</v>
      </c>
      <c r="J61" s="7">
        <v>0.04</v>
      </c>
      <c r="K61" s="7">
        <v>0.011</v>
      </c>
      <c r="L61" s="42">
        <v>0.047</v>
      </c>
      <c r="M61" s="7">
        <v>0.013</v>
      </c>
      <c r="N61" s="7">
        <v>0.022</v>
      </c>
      <c r="O61" s="7">
        <v>0.09</v>
      </c>
    </row>
    <row r="62" spans="1:15" ht="12.75">
      <c r="A62" s="1" t="s">
        <v>78</v>
      </c>
      <c r="B62" s="1" t="s">
        <v>68</v>
      </c>
      <c r="C62" s="29">
        <v>25203969</v>
      </c>
      <c r="D62" s="7">
        <v>0.093</v>
      </c>
      <c r="E62" s="7">
        <v>0.088</v>
      </c>
      <c r="F62" s="7">
        <v>0.023</v>
      </c>
      <c r="G62" s="7">
        <v>0.291</v>
      </c>
      <c r="H62" s="7">
        <v>0.044</v>
      </c>
      <c r="I62" s="7">
        <v>0.079</v>
      </c>
      <c r="J62" s="7">
        <v>0.06</v>
      </c>
      <c r="K62" s="7">
        <v>0.022</v>
      </c>
      <c r="L62" s="42">
        <v>0.093</v>
      </c>
      <c r="M62" s="7">
        <v>0.045</v>
      </c>
      <c r="N62" s="7">
        <v>0.029</v>
      </c>
      <c r="O62" s="7">
        <v>0.095</v>
      </c>
    </row>
    <row r="63" spans="1:15" ht="12.75">
      <c r="A63" s="1" t="s">
        <v>78</v>
      </c>
      <c r="B63" s="1" t="s">
        <v>325</v>
      </c>
      <c r="C63" s="29">
        <v>673697</v>
      </c>
      <c r="D63" s="7">
        <v>0.1754</v>
      </c>
      <c r="E63" s="7">
        <v>0.3373</v>
      </c>
      <c r="F63" s="7">
        <v>0.0164</v>
      </c>
      <c r="G63" s="7">
        <v>0.1391</v>
      </c>
      <c r="H63" s="7">
        <v>-0.1268</v>
      </c>
      <c r="I63" s="7">
        <v>-0.14</v>
      </c>
      <c r="J63" s="7">
        <v>-0.1584</v>
      </c>
      <c r="K63" s="7">
        <v>-0.222</v>
      </c>
      <c r="L63" s="42">
        <v>-0.111</v>
      </c>
      <c r="M63" s="7">
        <v>-0.131</v>
      </c>
      <c r="N63" s="7">
        <v>-0.116</v>
      </c>
      <c r="O63" s="7">
        <v>0.0079</v>
      </c>
    </row>
    <row r="64" spans="1:15" ht="12.75">
      <c r="A64" s="1" t="s">
        <v>78</v>
      </c>
      <c r="B64" s="1" t="s">
        <v>301</v>
      </c>
      <c r="C64" s="29">
        <v>410900</v>
      </c>
      <c r="D64" s="7">
        <v>0.149</v>
      </c>
      <c r="E64" s="7">
        <v>0.128</v>
      </c>
      <c r="F64" s="7">
        <v>0.045</v>
      </c>
      <c r="G64" s="7">
        <v>0.169</v>
      </c>
      <c r="H64" s="7">
        <v>0.063</v>
      </c>
      <c r="I64" s="7">
        <v>0.002</v>
      </c>
      <c r="J64" s="7">
        <v>-0.061</v>
      </c>
      <c r="K64" s="7">
        <v>-0.061</v>
      </c>
      <c r="L64" s="42">
        <v>0.067</v>
      </c>
      <c r="M64" s="7">
        <v>0.05</v>
      </c>
      <c r="N64" s="7">
        <v>0.047</v>
      </c>
      <c r="O64" s="7">
        <v>0.212</v>
      </c>
    </row>
    <row r="65" spans="1:15" ht="12.75">
      <c r="A65" s="1" t="s">
        <v>78</v>
      </c>
      <c r="B65" s="1" t="s">
        <v>76</v>
      </c>
      <c r="C65" s="29">
        <v>1060705</v>
      </c>
      <c r="D65" s="7">
        <v>0.012</v>
      </c>
      <c r="E65" s="7">
        <v>-0.006</v>
      </c>
      <c r="F65" s="7">
        <v>-0.016</v>
      </c>
      <c r="G65" s="7">
        <v>0.205</v>
      </c>
      <c r="H65" s="7">
        <v>0.011</v>
      </c>
      <c r="I65" s="7">
        <v>-0.029</v>
      </c>
      <c r="J65" s="7">
        <v>0.037</v>
      </c>
      <c r="K65" s="7">
        <v>0.037</v>
      </c>
      <c r="L65" s="42">
        <v>0.039</v>
      </c>
      <c r="M65" s="7">
        <v>-0.049</v>
      </c>
      <c r="N65" s="7">
        <v>-0.019</v>
      </c>
      <c r="O65" s="7">
        <v>0.035</v>
      </c>
    </row>
    <row r="66" spans="1:15" ht="12.75">
      <c r="A66" s="1" t="s">
        <v>78</v>
      </c>
      <c r="B66" s="1" t="s">
        <v>364</v>
      </c>
      <c r="C66" s="29">
        <v>436085</v>
      </c>
      <c r="D66" s="7">
        <v>-0.016381507098653048</v>
      </c>
      <c r="E66" s="7">
        <v>-0.07728844631473686</v>
      </c>
      <c r="F66" s="7">
        <v>-0.13259022527087072</v>
      </c>
      <c r="G66" s="7">
        <v>-0.11294044804683101</v>
      </c>
      <c r="H66" s="7">
        <v>0.036</v>
      </c>
      <c r="I66" s="7"/>
      <c r="J66" s="7"/>
      <c r="K66" s="7"/>
      <c r="L66" s="42"/>
      <c r="M66" s="7"/>
      <c r="N66" s="7"/>
      <c r="O66" s="7"/>
    </row>
    <row r="67" spans="1:15" ht="12.75">
      <c r="A67" s="1" t="s">
        <v>78</v>
      </c>
      <c r="B67" s="6" t="s">
        <v>238</v>
      </c>
      <c r="C67" s="29">
        <v>502974</v>
      </c>
      <c r="D67" s="7">
        <v>0.043</v>
      </c>
      <c r="E67" s="7">
        <v>0.1701</v>
      </c>
      <c r="F67" s="7">
        <v>0.1286</v>
      </c>
      <c r="G67" s="7">
        <v>0.3874</v>
      </c>
      <c r="H67" s="7">
        <v>0.1434</v>
      </c>
      <c r="I67" s="7">
        <v>0.23</v>
      </c>
      <c r="J67" s="7">
        <v>0.1233</v>
      </c>
      <c r="K67" s="7">
        <v>0.0886</v>
      </c>
      <c r="L67" s="42">
        <v>0.247</v>
      </c>
      <c r="M67" s="7">
        <v>0.075</v>
      </c>
      <c r="N67" s="7">
        <v>0.0441</v>
      </c>
      <c r="O67" s="7">
        <v>0.0724</v>
      </c>
    </row>
    <row r="68" spans="1:15" ht="12.75">
      <c r="A68" s="1" t="s">
        <v>78</v>
      </c>
      <c r="B68" s="1" t="s">
        <v>72</v>
      </c>
      <c r="C68" s="29">
        <v>6405906</v>
      </c>
      <c r="D68" s="7">
        <v>0.134</v>
      </c>
      <c r="E68" s="7">
        <v>0.073</v>
      </c>
      <c r="F68" s="7">
        <v>0.061</v>
      </c>
      <c r="G68" s="7">
        <v>0.158</v>
      </c>
      <c r="H68" s="7">
        <v>0.105</v>
      </c>
      <c r="I68" s="7">
        <v>0.071</v>
      </c>
      <c r="J68" s="7">
        <v>0.095</v>
      </c>
      <c r="K68" s="7">
        <v>0.085</v>
      </c>
      <c r="L68" s="42">
        <v>0.103</v>
      </c>
      <c r="M68" s="7">
        <v>0.074</v>
      </c>
      <c r="N68" s="7">
        <v>0.035</v>
      </c>
      <c r="O68" s="7">
        <v>0.107</v>
      </c>
    </row>
    <row r="69" spans="1:15" ht="12.75">
      <c r="A69" s="1" t="s">
        <v>338</v>
      </c>
      <c r="B69" s="1" t="s">
        <v>350</v>
      </c>
      <c r="C69" s="29">
        <v>822770</v>
      </c>
      <c r="D69" s="7">
        <v>0.27129900878847457</v>
      </c>
      <c r="E69" s="7">
        <v>0.3089710023217902</v>
      </c>
      <c r="F69" s="7">
        <v>0.30092499091166136</v>
      </c>
      <c r="G69" s="7">
        <v>0.4182534735487504</v>
      </c>
      <c r="H69" s="7">
        <v>0.38573578595317737</v>
      </c>
      <c r="I69" s="7">
        <v>0.2858421845114556</v>
      </c>
      <c r="J69" s="7">
        <v>0.2139000156063049</v>
      </c>
      <c r="K69" s="7">
        <v>0.26170708685685673</v>
      </c>
      <c r="L69" s="42">
        <v>0.3456020644709794</v>
      </c>
      <c r="M69" s="7">
        <v>0.2578235996731</v>
      </c>
      <c r="N69" s="7">
        <v>0.23493545467536792</v>
      </c>
      <c r="O69" s="7">
        <v>0.23413862831252952</v>
      </c>
    </row>
    <row r="70" spans="1:15" ht="12.75">
      <c r="A70" s="1" t="s">
        <v>14</v>
      </c>
      <c r="B70" s="1" t="s">
        <v>353</v>
      </c>
      <c r="C70" s="29">
        <v>190685745</v>
      </c>
      <c r="D70" s="7">
        <v>0.075</v>
      </c>
      <c r="E70" s="7">
        <v>0.07</v>
      </c>
      <c r="F70" s="7">
        <v>-0.003</v>
      </c>
      <c r="G70" s="7">
        <v>0.297</v>
      </c>
      <c r="H70" s="7">
        <v>0.053</v>
      </c>
      <c r="I70" s="7">
        <v>0.028</v>
      </c>
      <c r="J70" s="7">
        <v>0.029</v>
      </c>
      <c r="K70" s="7">
        <v>0.008</v>
      </c>
      <c r="L70" s="42">
        <v>0.023</v>
      </c>
      <c r="M70" s="7">
        <v>-0.001</v>
      </c>
      <c r="N70" s="7">
        <v>0.017</v>
      </c>
      <c r="O70" s="7">
        <v>0.07</v>
      </c>
    </row>
    <row r="71" spans="1:15" ht="12.75">
      <c r="A71" s="1" t="s">
        <v>14</v>
      </c>
      <c r="B71" s="1" t="s">
        <v>391</v>
      </c>
      <c r="C71" s="29">
        <v>911609</v>
      </c>
      <c r="D71" s="7">
        <v>-0.238</v>
      </c>
      <c r="E71" s="7">
        <v>-0.277</v>
      </c>
      <c r="F71" s="7">
        <v>-0.173</v>
      </c>
      <c r="G71" s="7">
        <v>0.302</v>
      </c>
      <c r="H71" s="7">
        <v>-0.15</v>
      </c>
      <c r="I71" s="7">
        <v>-0.101</v>
      </c>
      <c r="J71" s="7">
        <v>-0.158</v>
      </c>
      <c r="K71" s="7">
        <v>-0.169</v>
      </c>
      <c r="L71" s="42">
        <v>-0.185</v>
      </c>
      <c r="M71" s="7">
        <v>-0.25</v>
      </c>
      <c r="N71" s="7">
        <v>-0.291</v>
      </c>
      <c r="O71" s="7">
        <v>-0.075</v>
      </c>
    </row>
    <row r="72" spans="1:15" ht="12.75">
      <c r="A72" s="1" t="s">
        <v>14</v>
      </c>
      <c r="B72" s="1" t="s">
        <v>390</v>
      </c>
      <c r="C72" s="29">
        <v>7297911</v>
      </c>
      <c r="D72" s="7">
        <v>0.075</v>
      </c>
      <c r="E72" s="7">
        <v>-0.014</v>
      </c>
      <c r="F72" s="7">
        <v>-0.038</v>
      </c>
      <c r="G72" s="7">
        <v>0.218</v>
      </c>
      <c r="H72" s="7">
        <v>-0.055</v>
      </c>
      <c r="I72" s="7">
        <v>-0.046</v>
      </c>
      <c r="J72" s="7">
        <v>-0.062</v>
      </c>
      <c r="K72" s="7">
        <v>-0.083</v>
      </c>
      <c r="L72" s="42">
        <v>-0.045</v>
      </c>
      <c r="M72" s="7">
        <v>-0.046</v>
      </c>
      <c r="N72" s="14">
        <v>-0.084</v>
      </c>
      <c r="O72" s="7">
        <v>-0.02</v>
      </c>
    </row>
    <row r="73" spans="1:15" ht="12.75">
      <c r="A73" s="1" t="s">
        <v>14</v>
      </c>
      <c r="B73" s="1" t="s">
        <v>15</v>
      </c>
      <c r="C73" s="29">
        <v>15025600</v>
      </c>
      <c r="D73" s="7">
        <v>0.111</v>
      </c>
      <c r="E73" s="7">
        <v>0.17</v>
      </c>
      <c r="F73" s="7">
        <v>0.073</v>
      </c>
      <c r="G73" s="7">
        <v>0.447</v>
      </c>
      <c r="H73" s="7">
        <v>0.177</v>
      </c>
      <c r="I73" s="7">
        <v>0.078</v>
      </c>
      <c r="J73" s="7">
        <v>0.108</v>
      </c>
      <c r="K73" s="7">
        <v>0.093</v>
      </c>
      <c r="L73" s="42">
        <v>0.089</v>
      </c>
      <c r="M73" s="7">
        <v>0.053</v>
      </c>
      <c r="N73" s="7">
        <v>0.063</v>
      </c>
      <c r="O73" s="7">
        <v>0.178</v>
      </c>
    </row>
    <row r="74" spans="1:15" ht="12.75">
      <c r="A74" s="1" t="s">
        <v>14</v>
      </c>
      <c r="B74" s="1" t="s">
        <v>16</v>
      </c>
      <c r="C74" s="29">
        <v>2676275</v>
      </c>
      <c r="D74" s="7">
        <v>0.01</v>
      </c>
      <c r="E74" s="7">
        <v>0.032</v>
      </c>
      <c r="F74" s="7">
        <v>-0.05</v>
      </c>
      <c r="G74" s="7">
        <v>0.247</v>
      </c>
      <c r="H74" s="7">
        <v>-0.03</v>
      </c>
      <c r="I74" s="7">
        <v>-0.095</v>
      </c>
      <c r="J74" s="7">
        <v>-0.109</v>
      </c>
      <c r="K74" s="7">
        <v>-0.102</v>
      </c>
      <c r="L74" s="42">
        <v>-0.057</v>
      </c>
      <c r="M74" s="7">
        <v>-0.069</v>
      </c>
      <c r="N74" s="7">
        <v>-0.074</v>
      </c>
      <c r="O74" s="7">
        <v>-0.088</v>
      </c>
    </row>
    <row r="75" spans="1:15" ht="12.75">
      <c r="A75" s="1" t="s">
        <v>14</v>
      </c>
      <c r="B75" s="1" t="s">
        <v>26</v>
      </c>
      <c r="C75" s="29">
        <v>9849779</v>
      </c>
      <c r="D75" s="7">
        <v>-0.048</v>
      </c>
      <c r="E75" s="7">
        <v>-0.085</v>
      </c>
      <c r="F75" s="7">
        <v>-0.059</v>
      </c>
      <c r="G75" s="7">
        <v>0.134</v>
      </c>
      <c r="H75" s="7">
        <v>-0.022</v>
      </c>
      <c r="I75" s="7">
        <v>-0.029</v>
      </c>
      <c r="J75" s="7">
        <v>-0.026</v>
      </c>
      <c r="K75" s="7">
        <v>-0.042</v>
      </c>
      <c r="L75" s="42">
        <v>-0.02</v>
      </c>
      <c r="M75" s="7">
        <v>-0.031</v>
      </c>
      <c r="N75" s="7">
        <v>-0.013</v>
      </c>
      <c r="O75" s="7">
        <v>-0.018</v>
      </c>
    </row>
    <row r="76" spans="1:15" ht="12.75">
      <c r="A76" s="1" t="s">
        <v>14</v>
      </c>
      <c r="B76" s="1" t="s">
        <v>17</v>
      </c>
      <c r="C76" s="29">
        <v>1747731</v>
      </c>
      <c r="D76" s="7">
        <v>0.047</v>
      </c>
      <c r="E76" s="7">
        <v>-0.071</v>
      </c>
      <c r="F76" s="7">
        <v>-0.122</v>
      </c>
      <c r="G76" s="7">
        <v>0.222</v>
      </c>
      <c r="H76" s="7">
        <v>-0.025</v>
      </c>
      <c r="I76" s="7">
        <v>0.032</v>
      </c>
      <c r="J76" s="7">
        <v>0.023</v>
      </c>
      <c r="K76" s="7">
        <v>0.036</v>
      </c>
      <c r="L76" s="42">
        <v>0.114</v>
      </c>
      <c r="M76" s="7">
        <v>0.066</v>
      </c>
      <c r="N76" s="7">
        <v>0.049</v>
      </c>
      <c r="O76" s="7">
        <v>0.174</v>
      </c>
    </row>
    <row r="77" spans="1:15" ht="12.75">
      <c r="A77" s="1" t="s">
        <v>14</v>
      </c>
      <c r="B77" s="1" t="s">
        <v>18</v>
      </c>
      <c r="C77" s="29">
        <v>1843123</v>
      </c>
      <c r="D77" s="7">
        <v>0.03</v>
      </c>
      <c r="E77" s="7">
        <v>0.021</v>
      </c>
      <c r="F77" s="7">
        <v>-0.068</v>
      </c>
      <c r="G77" s="7">
        <v>0.214</v>
      </c>
      <c r="H77" s="7">
        <v>0.07</v>
      </c>
      <c r="I77" s="7">
        <v>0.013</v>
      </c>
      <c r="J77" s="7">
        <v>0.072</v>
      </c>
      <c r="K77" s="7">
        <v>0.052</v>
      </c>
      <c r="L77" s="42">
        <v>0.031</v>
      </c>
      <c r="M77" s="7">
        <v>0.035</v>
      </c>
      <c r="N77" s="7">
        <v>0.026</v>
      </c>
      <c r="O77" s="7">
        <v>0.011</v>
      </c>
    </row>
    <row r="78" spans="1:15" ht="12.75">
      <c r="A78" s="1" t="s">
        <v>14</v>
      </c>
      <c r="B78" s="1" t="s">
        <v>389</v>
      </c>
      <c r="C78" s="29">
        <v>18988149</v>
      </c>
      <c r="D78" s="7">
        <v>0.095</v>
      </c>
      <c r="E78" s="7">
        <v>0.09</v>
      </c>
      <c r="F78" s="7">
        <v>0.041</v>
      </c>
      <c r="G78" s="7">
        <v>0.322</v>
      </c>
      <c r="H78" s="7">
        <v>0.091</v>
      </c>
      <c r="I78" s="7">
        <v>0.055</v>
      </c>
      <c r="J78" s="7">
        <v>0.051</v>
      </c>
      <c r="K78" s="7">
        <v>0.026</v>
      </c>
      <c r="L78" s="42">
        <v>0.052</v>
      </c>
      <c r="M78" s="7">
        <v>0.004</v>
      </c>
      <c r="N78" s="7">
        <v>0.046</v>
      </c>
      <c r="O78" s="7">
        <v>0.095</v>
      </c>
    </row>
    <row r="79" spans="1:15" ht="12.75">
      <c r="A79" s="1" t="s">
        <v>14</v>
      </c>
      <c r="B79" s="1" t="s">
        <v>19</v>
      </c>
      <c r="C79" s="29">
        <v>322073</v>
      </c>
      <c r="D79" s="7">
        <v>0.156</v>
      </c>
      <c r="E79" s="7">
        <v>-0.068</v>
      </c>
      <c r="F79" s="7">
        <v>-0.009</v>
      </c>
      <c r="G79" s="7">
        <v>0.181</v>
      </c>
      <c r="H79" s="7">
        <v>-0.167</v>
      </c>
      <c r="I79" s="7">
        <v>-0.086</v>
      </c>
      <c r="J79" s="7">
        <v>-0.135</v>
      </c>
      <c r="K79" s="7">
        <v>-0.089</v>
      </c>
      <c r="L79" s="42">
        <v>-0.095</v>
      </c>
      <c r="M79" s="7">
        <v>-0.129</v>
      </c>
      <c r="N79" s="7">
        <v>-0.513</v>
      </c>
      <c r="O79" s="7">
        <v>-0.795</v>
      </c>
    </row>
    <row r="80" spans="1:15" ht="12.75">
      <c r="A80" s="1" t="s">
        <v>14</v>
      </c>
      <c r="B80" s="1" t="s">
        <v>20</v>
      </c>
      <c r="C80" s="29">
        <v>53009221</v>
      </c>
      <c r="D80" s="7">
        <v>0.052</v>
      </c>
      <c r="E80" s="7">
        <v>0.081</v>
      </c>
      <c r="F80" s="7">
        <v>-0.009</v>
      </c>
      <c r="G80" s="7">
        <v>0.312</v>
      </c>
      <c r="H80" s="7">
        <v>0.058</v>
      </c>
      <c r="I80" s="7">
        <v>0.049</v>
      </c>
      <c r="J80" s="7">
        <v>0.052</v>
      </c>
      <c r="K80" s="7">
        <v>0.025</v>
      </c>
      <c r="L80" s="42">
        <v>0.042</v>
      </c>
      <c r="M80" s="7">
        <v>0.025</v>
      </c>
      <c r="N80" s="7">
        <v>0.043</v>
      </c>
      <c r="O80" s="7">
        <v>0.121</v>
      </c>
    </row>
    <row r="81" spans="1:15" ht="12.75">
      <c r="A81" s="1" t="s">
        <v>14</v>
      </c>
      <c r="B81" s="1" t="s">
        <v>21</v>
      </c>
      <c r="C81" s="29">
        <v>590640</v>
      </c>
      <c r="D81" s="7">
        <v>0.058</v>
      </c>
      <c r="E81" s="7">
        <v>-0.003</v>
      </c>
      <c r="F81" s="7">
        <v>-0.047</v>
      </c>
      <c r="G81" s="7">
        <v>-0.022</v>
      </c>
      <c r="H81" s="7">
        <v>-0.056</v>
      </c>
      <c r="I81" s="7">
        <v>-0.014</v>
      </c>
      <c r="J81" s="7">
        <v>-0.005</v>
      </c>
      <c r="K81" s="7">
        <v>-0.053</v>
      </c>
      <c r="L81" s="42">
        <v>-0.051</v>
      </c>
      <c r="M81" s="7">
        <v>-0.088</v>
      </c>
      <c r="N81" s="7">
        <v>-0.108</v>
      </c>
      <c r="O81" s="7">
        <v>-0.024</v>
      </c>
    </row>
    <row r="82" spans="1:15" ht="12.75">
      <c r="A82" s="1" t="s">
        <v>14</v>
      </c>
      <c r="B82" s="1" t="s">
        <v>22</v>
      </c>
      <c r="C82" s="29">
        <v>3493451</v>
      </c>
      <c r="D82" s="7">
        <v>-0.105</v>
      </c>
      <c r="E82" s="7">
        <v>-0.174</v>
      </c>
      <c r="F82" s="7">
        <v>-0.126</v>
      </c>
      <c r="G82" s="7">
        <v>0.052</v>
      </c>
      <c r="H82" s="7">
        <v>-0.209</v>
      </c>
      <c r="I82" s="7">
        <v>-0.168</v>
      </c>
      <c r="J82" s="7">
        <v>-0.215</v>
      </c>
      <c r="K82" s="7">
        <v>-0.21</v>
      </c>
      <c r="L82" s="42">
        <v>-0.135</v>
      </c>
      <c r="M82" s="7">
        <v>-0.189</v>
      </c>
      <c r="N82" s="7">
        <v>-0.316</v>
      </c>
      <c r="O82" s="7">
        <v>-0.219</v>
      </c>
    </row>
    <row r="83" spans="1:15" ht="12.75">
      <c r="A83" s="1" t="s">
        <v>14</v>
      </c>
      <c r="B83" s="1" t="s">
        <v>23</v>
      </c>
      <c r="C83" s="29">
        <v>12962429</v>
      </c>
      <c r="D83" s="7">
        <v>0.062</v>
      </c>
      <c r="E83" s="7">
        <v>0.061</v>
      </c>
      <c r="F83" s="7">
        <v>-0.004</v>
      </c>
      <c r="G83" s="7">
        <v>0.321</v>
      </c>
      <c r="H83" s="7">
        <v>0.03</v>
      </c>
      <c r="I83" s="7">
        <v>0.024</v>
      </c>
      <c r="J83" s="7">
        <v>0.028</v>
      </c>
      <c r="K83" s="7">
        <v>0.01</v>
      </c>
      <c r="L83" s="42">
        <v>0.031</v>
      </c>
      <c r="M83" s="7">
        <v>0.001</v>
      </c>
      <c r="N83" s="7">
        <v>0.023</v>
      </c>
      <c r="O83" s="7">
        <v>0.058</v>
      </c>
    </row>
    <row r="84" spans="1:15" ht="12.75">
      <c r="A84" s="1" t="s">
        <v>14</v>
      </c>
      <c r="B84" s="1" t="s">
        <v>24</v>
      </c>
      <c r="C84" s="29">
        <v>5059800</v>
      </c>
      <c r="D84" s="7">
        <v>0.111</v>
      </c>
      <c r="E84" s="7">
        <v>0.074</v>
      </c>
      <c r="F84" s="7">
        <v>-0.009</v>
      </c>
      <c r="G84" s="7">
        <v>0.469</v>
      </c>
      <c r="H84" s="7">
        <v>0.059</v>
      </c>
      <c r="I84" s="7">
        <v>-0.011</v>
      </c>
      <c r="J84" s="7">
        <v>0.002</v>
      </c>
      <c r="K84" s="7">
        <v>0.016</v>
      </c>
      <c r="L84" s="42">
        <v>0.059</v>
      </c>
      <c r="M84" s="7">
        <v>0.022</v>
      </c>
      <c r="N84" s="7">
        <v>0.068</v>
      </c>
      <c r="O84" s="7">
        <v>-0.02</v>
      </c>
    </row>
    <row r="85" spans="1:15" ht="12.75">
      <c r="A85" s="1" t="s">
        <v>14</v>
      </c>
      <c r="B85" s="1" t="s">
        <v>25</v>
      </c>
      <c r="C85" s="29">
        <v>1177201</v>
      </c>
      <c r="D85" s="7">
        <v>-0.237</v>
      </c>
      <c r="E85" s="7">
        <v>-0.206</v>
      </c>
      <c r="F85" s="7">
        <v>-0.071</v>
      </c>
      <c r="G85" s="7">
        <v>0.264</v>
      </c>
      <c r="H85" s="7">
        <v>0.036</v>
      </c>
      <c r="I85" s="7">
        <v>0.039</v>
      </c>
      <c r="J85" s="7">
        <v>-0.03</v>
      </c>
      <c r="K85" s="7">
        <v>-0.075</v>
      </c>
      <c r="L85" s="42">
        <v>-0.064</v>
      </c>
      <c r="M85" s="7">
        <v>-0.101</v>
      </c>
      <c r="N85" s="7">
        <v>-0.154</v>
      </c>
      <c r="O85" s="7">
        <v>-0.125</v>
      </c>
    </row>
    <row r="86" spans="1:15" s="1" customFormat="1" ht="12.75">
      <c r="A86" s="1" t="s">
        <v>14</v>
      </c>
      <c r="B86" s="1" t="s">
        <v>27</v>
      </c>
      <c r="C86" s="29">
        <v>2348595</v>
      </c>
      <c r="D86" s="7">
        <v>-0.138</v>
      </c>
      <c r="E86" s="7">
        <v>-0.042</v>
      </c>
      <c r="F86" s="7">
        <v>-0.196</v>
      </c>
      <c r="G86" s="7">
        <v>0.199</v>
      </c>
      <c r="H86" s="7">
        <v>-0.054</v>
      </c>
      <c r="I86" s="7">
        <v>-0.117</v>
      </c>
      <c r="J86" s="7">
        <v>-0.052</v>
      </c>
      <c r="K86" s="7">
        <v>-0.064</v>
      </c>
      <c r="L86" s="42">
        <v>-0.042</v>
      </c>
      <c r="M86" s="7">
        <v>0.011</v>
      </c>
      <c r="N86" s="7">
        <v>0.076</v>
      </c>
      <c r="O86" s="7">
        <v>0.121</v>
      </c>
    </row>
    <row r="87" spans="1:15" ht="12.75">
      <c r="A87" s="1" t="s">
        <v>14</v>
      </c>
      <c r="B87" s="1" t="s">
        <v>387</v>
      </c>
      <c r="C87" s="29">
        <v>537835</v>
      </c>
      <c r="D87" s="7">
        <v>-0.41266492333293714</v>
      </c>
      <c r="E87" s="7">
        <v>-0.4094046713436452</v>
      </c>
      <c r="F87" s="7">
        <v>-0.4335535283632169</v>
      </c>
      <c r="G87" s="7">
        <v>-0.10215842983743817</v>
      </c>
      <c r="H87" s="7">
        <v>-0.34871040502108464</v>
      </c>
      <c r="I87" s="7">
        <v>-0.34900392393600965</v>
      </c>
      <c r="J87" s="7">
        <v>-0.3896503320032175</v>
      </c>
      <c r="K87" s="7">
        <v>-0.38061962875262867</v>
      </c>
      <c r="L87" s="42">
        <v>-0.34687969924812034</v>
      </c>
      <c r="M87" s="7">
        <v>-0.3706231345999854</v>
      </c>
      <c r="N87" s="7">
        <v>-0.43822291249438017</v>
      </c>
      <c r="O87" s="7">
        <v>-0.318</v>
      </c>
    </row>
    <row r="88" spans="1:15" ht="12.75">
      <c r="A88" s="1" t="s">
        <v>14</v>
      </c>
      <c r="B88" s="1" t="s">
        <v>28</v>
      </c>
      <c r="C88" s="29">
        <v>34721605</v>
      </c>
      <c r="D88" s="7">
        <v>0.195</v>
      </c>
      <c r="E88" s="7">
        <v>0.156</v>
      </c>
      <c r="F88" s="7">
        <v>0.032</v>
      </c>
      <c r="G88" s="7">
        <v>0.321</v>
      </c>
      <c r="H88" s="7">
        <v>0.111</v>
      </c>
      <c r="I88" s="7">
        <v>0.055</v>
      </c>
      <c r="J88" s="7">
        <v>0.074</v>
      </c>
      <c r="K88" s="7">
        <v>0.047</v>
      </c>
      <c r="L88" s="42">
        <v>0.024</v>
      </c>
      <c r="M88" s="7">
        <v>0.008</v>
      </c>
      <c r="N88" s="7">
        <v>0.052</v>
      </c>
      <c r="O88" s="7">
        <v>0.103</v>
      </c>
    </row>
    <row r="89" spans="1:15" ht="12.75">
      <c r="A89" s="1" t="s">
        <v>14</v>
      </c>
      <c r="B89" s="1" t="s">
        <v>388</v>
      </c>
      <c r="C89" s="29">
        <v>1332456</v>
      </c>
      <c r="D89" s="7">
        <v>-0.044</v>
      </c>
      <c r="E89" s="7">
        <v>-0.112</v>
      </c>
      <c r="F89" s="7">
        <v>-0.104</v>
      </c>
      <c r="G89" s="7">
        <v>0.269</v>
      </c>
      <c r="H89" s="7">
        <v>0.05</v>
      </c>
      <c r="I89" s="7">
        <v>0.027</v>
      </c>
      <c r="J89" s="7">
        <v>-0.014</v>
      </c>
      <c r="K89" s="7">
        <v>0.04</v>
      </c>
      <c r="L89" s="42">
        <v>0.011</v>
      </c>
      <c r="M89" s="7">
        <v>-0.02</v>
      </c>
      <c r="N89" s="7">
        <v>-0.063</v>
      </c>
      <c r="O89" s="7">
        <v>-0.222</v>
      </c>
    </row>
    <row r="90" spans="1:15" ht="12.75">
      <c r="A90" s="1" t="s">
        <v>14</v>
      </c>
      <c r="B90" s="1" t="s">
        <v>29</v>
      </c>
      <c r="C90" s="29">
        <v>4068709</v>
      </c>
      <c r="D90" s="7">
        <v>0.002</v>
      </c>
      <c r="E90" s="7">
        <v>-0.077</v>
      </c>
      <c r="F90" s="7">
        <v>-0.048</v>
      </c>
      <c r="G90" s="7">
        <v>0.201</v>
      </c>
      <c r="H90" s="7">
        <v>-0.004</v>
      </c>
      <c r="I90" s="7">
        <v>-0.003</v>
      </c>
      <c r="J90" s="7">
        <v>-0.004</v>
      </c>
      <c r="K90" s="7">
        <v>-0.004</v>
      </c>
      <c r="L90" s="42">
        <v>-0.008</v>
      </c>
      <c r="M90" s="7">
        <v>-0.043</v>
      </c>
      <c r="N90" s="7">
        <v>-0.146</v>
      </c>
      <c r="O90" s="7">
        <v>-0.141</v>
      </c>
    </row>
    <row r="91" spans="1:15" ht="12.75">
      <c r="A91" s="1" t="s">
        <v>14</v>
      </c>
      <c r="B91" s="1" t="s">
        <v>30</v>
      </c>
      <c r="C91" s="29">
        <v>1028301</v>
      </c>
      <c r="D91" s="7">
        <v>0.083</v>
      </c>
      <c r="E91" s="7">
        <v>0.062</v>
      </c>
      <c r="F91" s="7">
        <v>-0.048</v>
      </c>
      <c r="G91" s="7">
        <v>0.243</v>
      </c>
      <c r="H91" s="7">
        <v>-0.101</v>
      </c>
      <c r="I91" s="7">
        <v>-0.095</v>
      </c>
      <c r="J91" s="7">
        <v>-0.115</v>
      </c>
      <c r="K91" s="7">
        <v>-0.078</v>
      </c>
      <c r="L91" s="42">
        <v>-0.035</v>
      </c>
      <c r="M91" s="7">
        <v>-0.042</v>
      </c>
      <c r="N91" s="7">
        <v>-0.088</v>
      </c>
      <c r="O91" s="7">
        <v>-0.231</v>
      </c>
    </row>
    <row r="92" spans="1:15" ht="12.75">
      <c r="A92" s="1" t="s">
        <v>14</v>
      </c>
      <c r="B92" s="1" t="s">
        <v>386</v>
      </c>
      <c r="C92" s="29">
        <v>491299</v>
      </c>
      <c r="D92" s="7">
        <v>-0.08</v>
      </c>
      <c r="E92" s="7">
        <v>-0.156</v>
      </c>
      <c r="F92" s="7">
        <v>-0.148</v>
      </c>
      <c r="G92" s="7">
        <v>0.165</v>
      </c>
      <c r="H92" s="7">
        <v>-0.057</v>
      </c>
      <c r="I92" s="7">
        <v>-0.107</v>
      </c>
      <c r="J92" s="7">
        <v>-0.179</v>
      </c>
      <c r="K92" s="7">
        <v>-0.179</v>
      </c>
      <c r="L92" s="42">
        <v>-0.12</v>
      </c>
      <c r="M92" s="7">
        <v>-0.154</v>
      </c>
      <c r="N92" s="7">
        <v>0.163</v>
      </c>
      <c r="O92" s="7">
        <v>0.312</v>
      </c>
    </row>
    <row r="93" spans="1:15" ht="12.75">
      <c r="A93" s="1" t="s">
        <v>14</v>
      </c>
      <c r="B93" s="1" t="s">
        <v>31</v>
      </c>
      <c r="C93" s="29">
        <v>9217012</v>
      </c>
      <c r="D93" s="7">
        <v>0.041</v>
      </c>
      <c r="E93" s="7">
        <v>0.039</v>
      </c>
      <c r="F93" s="7">
        <v>-0.024</v>
      </c>
      <c r="G93" s="7">
        <v>0.249</v>
      </c>
      <c r="H93" s="7">
        <v>0.025</v>
      </c>
      <c r="I93" s="7">
        <v>0.06</v>
      </c>
      <c r="J93" s="7">
        <v>0.038</v>
      </c>
      <c r="K93" s="7">
        <v>0.011</v>
      </c>
      <c r="L93" s="42">
        <v>0.022</v>
      </c>
      <c r="M93" s="7">
        <v>-0.01</v>
      </c>
      <c r="N93" s="7">
        <v>0.025</v>
      </c>
      <c r="O93" s="7">
        <v>0.069</v>
      </c>
    </row>
    <row r="94" spans="1:15" ht="12.75">
      <c r="A94" s="1" t="s">
        <v>14</v>
      </c>
      <c r="B94" s="1" t="s">
        <v>32</v>
      </c>
      <c r="C94" s="29">
        <v>2896730</v>
      </c>
      <c r="D94" s="7">
        <v>0.045</v>
      </c>
      <c r="E94" s="7">
        <v>0.036</v>
      </c>
      <c r="F94" s="7">
        <v>-0.035</v>
      </c>
      <c r="G94" s="7">
        <v>0.148</v>
      </c>
      <c r="H94" s="7">
        <v>-0.13</v>
      </c>
      <c r="I94" s="7">
        <v>-0.127</v>
      </c>
      <c r="J94" s="7">
        <v>-0.228</v>
      </c>
      <c r="K94" s="7">
        <v>-0.263</v>
      </c>
      <c r="L94" s="42">
        <v>-0.218</v>
      </c>
      <c r="M94" s="7">
        <v>-0.243</v>
      </c>
      <c r="N94" s="7">
        <v>-0.372</v>
      </c>
      <c r="O94" s="7">
        <v>-0.347</v>
      </c>
    </row>
    <row r="95" spans="1:15" ht="12.75">
      <c r="A95" s="1" t="s">
        <v>159</v>
      </c>
      <c r="B95" s="1" t="s">
        <v>66</v>
      </c>
      <c r="C95" s="29">
        <v>38303573</v>
      </c>
      <c r="D95" s="7">
        <v>-0.1753780828224264</v>
      </c>
      <c r="E95" s="7">
        <v>-0.18290689047966135</v>
      </c>
      <c r="F95" s="7">
        <v>-0.16900810221219387</v>
      </c>
      <c r="G95" s="7">
        <v>0.042142292036920326</v>
      </c>
      <c r="H95" s="7">
        <v>0.033649185343272325</v>
      </c>
      <c r="I95" s="7">
        <v>0.11278367630456243</v>
      </c>
      <c r="J95" s="7">
        <v>0.084</v>
      </c>
      <c r="K95" s="7">
        <v>0.057</v>
      </c>
      <c r="L95" s="42">
        <v>0.071</v>
      </c>
      <c r="M95" s="7">
        <v>0.006</v>
      </c>
      <c r="N95" s="7">
        <v>-0.132</v>
      </c>
      <c r="O95" s="7">
        <v>-0.075</v>
      </c>
    </row>
    <row r="96" spans="1:15" ht="12.75">
      <c r="A96" s="1" t="s">
        <v>159</v>
      </c>
      <c r="B96" s="6" t="s">
        <v>160</v>
      </c>
      <c r="C96" s="29">
        <v>15411952</v>
      </c>
      <c r="D96" s="7">
        <v>-0.147</v>
      </c>
      <c r="E96" s="7">
        <v>-0.165</v>
      </c>
      <c r="F96" s="7">
        <v>-0.161</v>
      </c>
      <c r="G96" s="7">
        <v>-0.026</v>
      </c>
      <c r="H96" s="7">
        <v>-0.009</v>
      </c>
      <c r="I96" s="7">
        <v>0.019</v>
      </c>
      <c r="J96" s="7">
        <v>-0.003</v>
      </c>
      <c r="K96" s="7">
        <v>-0.03</v>
      </c>
      <c r="L96" s="42">
        <v>-0.021</v>
      </c>
      <c r="M96" s="7">
        <v>-0.084</v>
      </c>
      <c r="N96" s="7">
        <v>-0.1447621564213447</v>
      </c>
      <c r="O96" s="7">
        <v>-0.10399284149849908</v>
      </c>
    </row>
    <row r="97" spans="1:15" ht="12.75">
      <c r="A97" s="1" t="s">
        <v>159</v>
      </c>
      <c r="B97" s="1" t="s">
        <v>365</v>
      </c>
      <c r="C97" s="29">
        <v>4907337</v>
      </c>
      <c r="D97" s="7">
        <v>-0.25219414533845574</v>
      </c>
      <c r="E97" s="7">
        <v>-0.22886906233008752</v>
      </c>
      <c r="F97" s="7">
        <v>-0.21515527468693052</v>
      </c>
      <c r="G97" s="7">
        <v>0.12668715892410543</v>
      </c>
      <c r="H97" s="7">
        <v>0.053095798498120184</v>
      </c>
      <c r="I97" s="7">
        <v>0.1638585784636999</v>
      </c>
      <c r="J97" s="7">
        <v>0.119</v>
      </c>
      <c r="K97" s="7">
        <v>0.092</v>
      </c>
      <c r="L97" s="42">
        <v>0.097</v>
      </c>
      <c r="M97" s="7">
        <v>0.076</v>
      </c>
      <c r="N97" s="7">
        <v>-0.16133158145646087</v>
      </c>
      <c r="O97" s="7">
        <v>-0.05050660762083603</v>
      </c>
    </row>
    <row r="98" spans="1:15" ht="12.75">
      <c r="A98" s="1" t="s">
        <v>159</v>
      </c>
      <c r="B98" s="1" t="s">
        <v>366</v>
      </c>
      <c r="C98" s="29">
        <v>3910751</v>
      </c>
      <c r="D98" s="7">
        <v>-0.20035070232755592</v>
      </c>
      <c r="E98" s="7">
        <v>-0.20506136635168892</v>
      </c>
      <c r="F98" s="7">
        <v>-0.19571231695036995</v>
      </c>
      <c r="G98" s="7">
        <v>0.07272594569796054</v>
      </c>
      <c r="H98" s="7">
        <v>0.09608675773347608</v>
      </c>
      <c r="I98" s="7">
        <v>0.2323340714891582</v>
      </c>
      <c r="J98" s="7">
        <v>0.109</v>
      </c>
      <c r="K98" s="7">
        <v>0.103</v>
      </c>
      <c r="L98" s="42">
        <v>0.128</v>
      </c>
      <c r="M98" s="7">
        <v>0.002</v>
      </c>
      <c r="N98" s="7">
        <v>0.029861791175727737</v>
      </c>
      <c r="O98" s="7">
        <v>0.07060742155317734</v>
      </c>
    </row>
    <row r="99" spans="1:15" ht="12.75">
      <c r="A99" s="1" t="s">
        <v>159</v>
      </c>
      <c r="B99" s="1" t="s">
        <v>367</v>
      </c>
      <c r="C99" s="29">
        <v>3586572</v>
      </c>
      <c r="D99" s="7">
        <v>-0.1305282992036405</v>
      </c>
      <c r="E99" s="7">
        <v>-0.13921203819181782</v>
      </c>
      <c r="F99" s="7">
        <v>-0.1532663316582915</v>
      </c>
      <c r="G99" s="7">
        <v>0.5417762734313203</v>
      </c>
      <c r="H99" s="7">
        <v>0.1778912446926153</v>
      </c>
      <c r="I99" s="7">
        <v>0.2705454415776616</v>
      </c>
      <c r="J99" s="7">
        <v>0.183</v>
      </c>
      <c r="K99" s="7">
        <v>0.103</v>
      </c>
      <c r="L99" s="42">
        <v>0.1304585189857106</v>
      </c>
      <c r="M99" s="7">
        <v>0.205</v>
      </c>
      <c r="N99" s="7">
        <v>-0.2069855129986108</v>
      </c>
      <c r="O99" s="7">
        <v>-0.09680739540646144</v>
      </c>
    </row>
    <row r="100" spans="1:15" ht="12.75">
      <c r="A100" s="1" t="s">
        <v>159</v>
      </c>
      <c r="B100" s="1" t="s">
        <v>368</v>
      </c>
      <c r="C100" s="29">
        <v>1744761</v>
      </c>
      <c r="D100" s="7">
        <v>-0.24726232512403346</v>
      </c>
      <c r="E100" s="7">
        <v>-0.2268776349346796</v>
      </c>
      <c r="F100" s="7">
        <v>-0.18509055047516587</v>
      </c>
      <c r="G100" s="7">
        <v>0.13329911019849416</v>
      </c>
      <c r="H100" s="7">
        <v>0.027888739263769002</v>
      </c>
      <c r="I100" s="7">
        <v>0.08040248580809584</v>
      </c>
      <c r="J100" s="7">
        <v>0.086</v>
      </c>
      <c r="K100" s="7">
        <v>0.064</v>
      </c>
      <c r="L100" s="42">
        <v>0.10672069887326541</v>
      </c>
      <c r="M100" s="7">
        <v>-0.014</v>
      </c>
      <c r="N100" s="7">
        <v>-0.05158264947245017</v>
      </c>
      <c r="O100" s="7">
        <v>-0.07619047619047614</v>
      </c>
    </row>
    <row r="101" spans="1:15" ht="12.75">
      <c r="A101" s="1" t="s">
        <v>159</v>
      </c>
      <c r="B101" s="1" t="s">
        <v>369</v>
      </c>
      <c r="C101" s="29">
        <v>1654864</v>
      </c>
      <c r="D101" s="7">
        <v>-0.2900865551067513</v>
      </c>
      <c r="E101" s="7">
        <v>-0.2288349322520028</v>
      </c>
      <c r="F101" s="7">
        <v>-0.0037462537462537027</v>
      </c>
      <c r="G101" s="7">
        <v>0.09091033952312944</v>
      </c>
      <c r="H101" s="7">
        <v>0.029659886174876693</v>
      </c>
      <c r="I101" s="7">
        <v>0.10043196999388915</v>
      </c>
      <c r="J101" s="7">
        <v>0.101</v>
      </c>
      <c r="K101" s="7">
        <v>0.124</v>
      </c>
      <c r="L101" s="42">
        <v>0.12920770735913512</v>
      </c>
      <c r="M101" s="7">
        <v>0.125</v>
      </c>
      <c r="N101" s="7">
        <v>-0.15969861001550467</v>
      </c>
      <c r="O101" s="7">
        <v>-0.06316753127860852</v>
      </c>
    </row>
    <row r="102" spans="1:15" ht="12.75">
      <c r="A102" s="1" t="s">
        <v>159</v>
      </c>
      <c r="B102" s="1" t="s">
        <v>370</v>
      </c>
      <c r="C102" s="29">
        <v>1627240</v>
      </c>
      <c r="D102" s="7">
        <v>-0.16196154782185446</v>
      </c>
      <c r="E102" s="7">
        <v>-0.1582252559726962</v>
      </c>
      <c r="F102" s="7">
        <v>-0.05516145508200443</v>
      </c>
      <c r="G102" s="7">
        <v>0.8298095238095238</v>
      </c>
      <c r="H102" s="7">
        <v>0.09813288669800735</v>
      </c>
      <c r="I102" s="7">
        <v>0.30843837803191865</v>
      </c>
      <c r="J102" s="7">
        <v>0.2</v>
      </c>
      <c r="K102" s="7">
        <v>0.17</v>
      </c>
      <c r="L102" s="42">
        <v>0.14293490667088093</v>
      </c>
      <c r="M102" s="7">
        <v>0.251</v>
      </c>
      <c r="N102" s="7">
        <v>-0.29136344178082196</v>
      </c>
      <c r="O102" s="7">
        <v>-0.15191887055080533</v>
      </c>
    </row>
    <row r="103" spans="1:15" ht="12.75">
      <c r="A103" s="1" t="s">
        <v>159</v>
      </c>
      <c r="B103" s="1" t="s">
        <v>371</v>
      </c>
      <c r="C103" s="29">
        <v>871064</v>
      </c>
      <c r="D103" s="7">
        <v>-0.3084911423335369</v>
      </c>
      <c r="E103" s="7">
        <v>-0.19542772861356927</v>
      </c>
      <c r="F103" s="7">
        <v>-0.1557871640153593</v>
      </c>
      <c r="G103" s="7">
        <v>0.7688634192932187</v>
      </c>
      <c r="H103" s="7">
        <v>0.001613955972230574</v>
      </c>
      <c r="I103" s="7">
        <v>0.04865019555470762</v>
      </c>
      <c r="J103" s="7">
        <v>0.08</v>
      </c>
      <c r="K103" s="7">
        <v>0.056</v>
      </c>
      <c r="L103" s="42">
        <v>0.1446725811133125</v>
      </c>
      <c r="M103" s="7">
        <v>-0.176</v>
      </c>
      <c r="N103" s="7">
        <v>-0.32432432432432434</v>
      </c>
      <c r="O103" s="7">
        <v>-0.20781379883624274</v>
      </c>
    </row>
    <row r="104" spans="1:15" ht="12.75">
      <c r="A104" s="1" t="s">
        <v>159</v>
      </c>
      <c r="B104" s="1" t="s">
        <v>372</v>
      </c>
      <c r="C104" s="29">
        <v>722155</v>
      </c>
      <c r="D104" s="7">
        <v>-0.09017928819909016</v>
      </c>
      <c r="E104" s="7">
        <v>0.03224478594950608</v>
      </c>
      <c r="F104" s="7">
        <v>0.016300634455832075</v>
      </c>
      <c r="G104" s="7">
        <v>0.05626294392881803</v>
      </c>
      <c r="H104" s="7">
        <v>0.01304707525802562</v>
      </c>
      <c r="I104" s="7">
        <v>0.0646728107319503</v>
      </c>
      <c r="J104" s="7">
        <v>0.113</v>
      </c>
      <c r="K104" s="7">
        <v>0.089</v>
      </c>
      <c r="L104" s="42">
        <v>0.16255450732782162</v>
      </c>
      <c r="M104" s="7">
        <v>0.076</v>
      </c>
      <c r="N104" s="7">
        <v>-0.14058248513554372</v>
      </c>
      <c r="O104" s="7">
        <v>-0.09875173370319001</v>
      </c>
    </row>
    <row r="105" spans="1:15" ht="12.75">
      <c r="A105" s="1" t="s">
        <v>159</v>
      </c>
      <c r="B105" s="1" t="s">
        <v>373</v>
      </c>
      <c r="C105" s="29">
        <v>506581</v>
      </c>
      <c r="D105" s="7">
        <v>-0.27229566188791654</v>
      </c>
      <c r="E105" s="7">
        <v>-0.27853471767100135</v>
      </c>
      <c r="F105" s="7">
        <v>-0.24492389819198623</v>
      </c>
      <c r="G105" s="7">
        <v>-0.07546215654323762</v>
      </c>
      <c r="H105" s="7">
        <v>0.02251245157719972</v>
      </c>
      <c r="I105" s="7">
        <v>-0.002537417717795032</v>
      </c>
      <c r="J105" s="7">
        <v>-0.04</v>
      </c>
      <c r="K105" s="7">
        <v>-0.017</v>
      </c>
      <c r="L105" s="42">
        <v>-0.01584543389993809</v>
      </c>
      <c r="M105" s="7">
        <v>0.057</v>
      </c>
      <c r="N105" s="7">
        <v>-0.2043963963963964</v>
      </c>
      <c r="O105" s="7">
        <v>-0.0942769130998703</v>
      </c>
    </row>
    <row r="106" spans="1:15" ht="12.75">
      <c r="A106" s="1" t="s">
        <v>159</v>
      </c>
      <c r="B106" s="1" t="s">
        <v>374</v>
      </c>
      <c r="C106" s="29">
        <v>432455</v>
      </c>
      <c r="D106" s="7">
        <v>-0.32070555221487274</v>
      </c>
      <c r="E106" s="7">
        <v>-0.2270833333333333</v>
      </c>
      <c r="F106" s="7">
        <v>-0.1990646921278254</v>
      </c>
      <c r="G106" s="7">
        <v>0.1999422965954991</v>
      </c>
      <c r="H106" s="7">
        <v>-0.08420838302452083</v>
      </c>
      <c r="I106" s="7">
        <v>0.14501158159609395</v>
      </c>
      <c r="J106" s="7">
        <v>0.179</v>
      </c>
      <c r="K106" s="7">
        <v>0.133</v>
      </c>
      <c r="L106" s="42">
        <v>0.17647247581305048</v>
      </c>
      <c r="M106" s="7">
        <v>0.045</v>
      </c>
      <c r="N106" s="7">
        <v>-0.13137129451908724</v>
      </c>
      <c r="O106" s="7">
        <v>-0.04589963280293763</v>
      </c>
    </row>
    <row r="107" spans="1:15" ht="12.75">
      <c r="A107" s="1" t="s">
        <v>159</v>
      </c>
      <c r="B107" s="1" t="s">
        <v>375</v>
      </c>
      <c r="C107" s="29">
        <v>410565</v>
      </c>
      <c r="D107" s="7">
        <v>-0.24761904761904763</v>
      </c>
      <c r="E107" s="7">
        <v>-0.14126733659995017</v>
      </c>
      <c r="F107" s="7">
        <v>-0.15055547540037517</v>
      </c>
      <c r="G107" s="7">
        <v>-0.07316060947412106</v>
      </c>
      <c r="H107" s="7">
        <v>-0.040905246431042874</v>
      </c>
      <c r="I107" s="7">
        <v>0.006353652496199791</v>
      </c>
      <c r="J107" s="7">
        <v>0.077</v>
      </c>
      <c r="K107" s="7">
        <v>0.085</v>
      </c>
      <c r="L107" s="42">
        <v>0.0298964179934873</v>
      </c>
      <c r="M107" s="7">
        <v>-0.038</v>
      </c>
      <c r="N107" s="7">
        <v>-0.25097064761608945</v>
      </c>
      <c r="O107" s="7">
        <v>-0.13810869203922216</v>
      </c>
    </row>
    <row r="108" spans="1:15" ht="12.75">
      <c r="A108" s="1" t="s">
        <v>159</v>
      </c>
      <c r="B108" s="1" t="s">
        <v>376</v>
      </c>
      <c r="C108" s="29">
        <v>355968</v>
      </c>
      <c r="D108" s="7">
        <v>-0.3613378983407953</v>
      </c>
      <c r="E108" s="7">
        <v>-0.32981755986316985</v>
      </c>
      <c r="F108" s="7">
        <v>-0.3212422360248447</v>
      </c>
      <c r="G108" s="7">
        <v>-0.07943548387096777</v>
      </c>
      <c r="H108" s="7">
        <v>0.060605286028321714</v>
      </c>
      <c r="I108" s="7">
        <v>-0.02735852054272192</v>
      </c>
      <c r="J108" s="7">
        <v>0.018</v>
      </c>
      <c r="K108" s="7">
        <v>-0.053</v>
      </c>
      <c r="L108" s="42">
        <v>8.146241324258341E-05</v>
      </c>
      <c r="M108" s="7">
        <v>-0.127</v>
      </c>
      <c r="N108" s="7">
        <v>-0.19655521783181362</v>
      </c>
      <c r="O108" s="7">
        <v>-0.096612779060816</v>
      </c>
    </row>
    <row r="109" spans="1:15" ht="12.75">
      <c r="A109" s="1" t="s">
        <v>159</v>
      </c>
      <c r="B109" s="1" t="s">
        <v>377</v>
      </c>
      <c r="C109" s="29">
        <v>296194</v>
      </c>
      <c r="D109" s="7">
        <v>-0.42736220472440944</v>
      </c>
      <c r="E109" s="7">
        <v>-0.370154095701541</v>
      </c>
      <c r="F109" s="7">
        <v>-0.40070947144377433</v>
      </c>
      <c r="G109" s="7">
        <v>-0.3723266364225535</v>
      </c>
      <c r="H109" s="7">
        <v>-0.1372922811308539</v>
      </c>
      <c r="I109" s="7">
        <v>0.025721455457967446</v>
      </c>
      <c r="J109" s="7">
        <v>-0.031</v>
      </c>
      <c r="K109" s="7">
        <v>-0.084</v>
      </c>
      <c r="L109" s="42">
        <v>-0.09726428298765744</v>
      </c>
      <c r="M109" s="7">
        <v>-0.278</v>
      </c>
      <c r="N109" s="7">
        <v>-0.21119807344972907</v>
      </c>
      <c r="O109" s="7">
        <v>-0.2605798456862287</v>
      </c>
    </row>
    <row r="110" spans="1:15" ht="12.75">
      <c r="A110" s="1" t="s">
        <v>159</v>
      </c>
      <c r="B110" s="1" t="s">
        <v>378</v>
      </c>
      <c r="C110" s="29">
        <v>292448</v>
      </c>
      <c r="D110" s="7">
        <v>-0.8318725099601594</v>
      </c>
      <c r="E110" s="7">
        <v>-0.8364083640836408</v>
      </c>
      <c r="F110" s="7">
        <v>-0.7054263565891472</v>
      </c>
      <c r="G110" s="7">
        <v>1.6244260789715335</v>
      </c>
      <c r="H110" s="7">
        <v>-0.12201106960765606</v>
      </c>
      <c r="I110" s="7">
        <v>0.022166361974405913</v>
      </c>
      <c r="J110" s="7">
        <v>0.099</v>
      </c>
      <c r="K110" s="7">
        <v>-0.041</v>
      </c>
      <c r="L110" s="42">
        <v>0.035501517479111344</v>
      </c>
      <c r="M110" s="7">
        <v>-0.024</v>
      </c>
      <c r="N110" s="7">
        <v>-0.07623318385650224</v>
      </c>
      <c r="O110" s="7">
        <v>0.74609375</v>
      </c>
    </row>
    <row r="111" spans="1:15" ht="12.75">
      <c r="A111" s="1" t="s">
        <v>159</v>
      </c>
      <c r="B111" s="1" t="s">
        <v>379</v>
      </c>
      <c r="C111" s="29">
        <v>288445</v>
      </c>
      <c r="D111" s="7">
        <v>-0.2955244910823538</v>
      </c>
      <c r="E111" s="7">
        <v>-0.2792803295251418</v>
      </c>
      <c r="F111" s="7">
        <v>-0.21465448009484112</v>
      </c>
      <c r="G111" s="7">
        <v>-0.2436810920273007</v>
      </c>
      <c r="H111" s="7">
        <v>-0.09492481203007519</v>
      </c>
      <c r="I111" s="7">
        <v>-0.11905591360390178</v>
      </c>
      <c r="J111" s="7">
        <v>-0.114</v>
      </c>
      <c r="K111" s="7">
        <v>-0.129</v>
      </c>
      <c r="L111" s="42">
        <v>-0.11204629142556555</v>
      </c>
      <c r="M111" s="7">
        <v>-0.184</v>
      </c>
      <c r="N111" s="7">
        <v>-0.23970909090909087</v>
      </c>
      <c r="O111" s="7">
        <v>-0.02301660046847953</v>
      </c>
    </row>
    <row r="112" spans="1:15" ht="12.75">
      <c r="A112" s="1" t="s">
        <v>159</v>
      </c>
      <c r="B112" s="1" t="s">
        <v>380</v>
      </c>
      <c r="C112" s="29">
        <v>267141</v>
      </c>
      <c r="D112" s="7">
        <v>-0.2324187464475792</v>
      </c>
      <c r="E112" s="7">
        <v>-0.19046801693557613</v>
      </c>
      <c r="F112" s="7">
        <v>-0.095</v>
      </c>
      <c r="G112" s="7">
        <v>-0.11210184772378262</v>
      </c>
      <c r="H112" s="7">
        <v>0.027186761229314405</v>
      </c>
      <c r="I112" s="7">
        <v>-0.08035180599436431</v>
      </c>
      <c r="J112" s="7">
        <v>-0.152</v>
      </c>
      <c r="K112" s="7">
        <v>-0.215</v>
      </c>
      <c r="L112" s="42">
        <v>-0.10482230465478037</v>
      </c>
      <c r="M112" s="7">
        <v>-0.016</v>
      </c>
      <c r="N112" s="7">
        <v>-0.2630413651582244</v>
      </c>
      <c r="O112" s="7">
        <v>-0.23349834983498352</v>
      </c>
    </row>
    <row r="113" spans="1:15" ht="12.75">
      <c r="A113" s="1" t="s">
        <v>159</v>
      </c>
      <c r="B113" s="1" t="s">
        <v>381</v>
      </c>
      <c r="C113" s="29">
        <v>230489</v>
      </c>
      <c r="D113" s="7">
        <v>-0.4426002766251729</v>
      </c>
      <c r="E113" s="7">
        <v>-0.3885542168674698</v>
      </c>
      <c r="F113" s="7">
        <v>-0.341</v>
      </c>
      <c r="G113" s="7">
        <v>0.15714285714285725</v>
      </c>
      <c r="H113" s="7">
        <v>-0.05084897630034502</v>
      </c>
      <c r="I113" s="7">
        <v>0.014808400086598894</v>
      </c>
      <c r="J113" s="7">
        <v>0.088</v>
      </c>
      <c r="K113" s="7">
        <v>0.135</v>
      </c>
      <c r="L113" s="42">
        <v>0.15075763212062587</v>
      </c>
      <c r="M113" s="7">
        <v>-0.306</v>
      </c>
      <c r="N113" s="7">
        <v>0.11851851851851847</v>
      </c>
      <c r="O113" s="7">
        <v>0.43925233644859807</v>
      </c>
    </row>
    <row r="114" spans="1:15" ht="12.75">
      <c r="A114" s="1" t="s">
        <v>159</v>
      </c>
      <c r="B114" s="1" t="s">
        <v>382</v>
      </c>
      <c r="C114" s="29">
        <v>160173</v>
      </c>
      <c r="D114" s="7">
        <v>-0.048534798534798584</v>
      </c>
      <c r="E114" s="7">
        <v>0.02118334550766976</v>
      </c>
      <c r="F114" s="7">
        <v>-0.11729889695991391</v>
      </c>
      <c r="G114" s="7">
        <v>0.07816349384098542</v>
      </c>
      <c r="H114" s="7">
        <v>0.06286975717439303</v>
      </c>
      <c r="I114" s="7">
        <v>0.24540497757453172</v>
      </c>
      <c r="J114" s="7">
        <v>0.257</v>
      </c>
      <c r="K114" s="7">
        <v>0.164</v>
      </c>
      <c r="L114" s="42">
        <v>0.17545702061454693</v>
      </c>
      <c r="M114" s="7">
        <v>0.033</v>
      </c>
      <c r="N114" s="7">
        <v>-0.5492362690932726</v>
      </c>
      <c r="O114" s="7">
        <v>-0.19516989609660207</v>
      </c>
    </row>
    <row r="115" spans="1:15" ht="12.75">
      <c r="A115" s="1" t="s">
        <v>159</v>
      </c>
      <c r="B115" s="1" t="s">
        <v>383</v>
      </c>
      <c r="C115" s="29">
        <v>120024</v>
      </c>
      <c r="D115" s="7">
        <v>-0.2873927638940694</v>
      </c>
      <c r="E115" s="7">
        <v>-0.36751891218998367</v>
      </c>
      <c r="F115" s="7">
        <v>-0.35311469720631616</v>
      </c>
      <c r="G115" s="7">
        <v>-0.3156424581005587</v>
      </c>
      <c r="H115" s="7">
        <v>-0.210521574632916</v>
      </c>
      <c r="I115" s="7">
        <v>-0.16385690789473684</v>
      </c>
      <c r="J115" s="7">
        <v>-0.23</v>
      </c>
      <c r="K115" s="7">
        <v>-0.223</v>
      </c>
      <c r="L115" s="42">
        <v>-0.14471796003973947</v>
      </c>
      <c r="M115" s="7">
        <v>-0.292</v>
      </c>
      <c r="N115" s="7">
        <v>-0.21853082318198602</v>
      </c>
      <c r="O115" s="7">
        <v>-0.30111704711024767</v>
      </c>
    </row>
    <row r="116" spans="1:15" ht="12.75">
      <c r="A116" s="1" t="s">
        <v>159</v>
      </c>
      <c r="B116" s="1" t="s">
        <v>384</v>
      </c>
      <c r="C116" s="29">
        <v>109307</v>
      </c>
      <c r="D116" s="7">
        <v>-0.3522591441549128</v>
      </c>
      <c r="E116" s="7">
        <v>-0.3329434697855751</v>
      </c>
      <c r="F116" s="7">
        <v>-0.22328931572629052</v>
      </c>
      <c r="G116" s="7">
        <v>-0.11862656512198266</v>
      </c>
      <c r="H116" s="7">
        <v>-0.038566468253968256</v>
      </c>
      <c r="I116" s="7">
        <v>-0.10402653644153692</v>
      </c>
      <c r="J116" s="7">
        <v>-0.035</v>
      </c>
      <c r="K116" s="7">
        <v>0.009</v>
      </c>
      <c r="L116" s="42">
        <v>-0.13471502590673579</v>
      </c>
      <c r="M116" s="7">
        <v>-0.152</v>
      </c>
      <c r="N116" s="7">
        <v>-0.3547704115389705</v>
      </c>
      <c r="O116" s="7">
        <v>-0.20938023450586263</v>
      </c>
    </row>
    <row r="117" spans="1:15" ht="12.75">
      <c r="A117" s="1" t="s">
        <v>234</v>
      </c>
      <c r="B117" s="6" t="s">
        <v>235</v>
      </c>
      <c r="C117" s="29">
        <v>8190089</v>
      </c>
      <c r="D117" s="14">
        <v>0.061</v>
      </c>
      <c r="E117" s="14">
        <v>0.074</v>
      </c>
      <c r="F117" s="14">
        <v>0.089</v>
      </c>
      <c r="G117" s="14">
        <v>0.354</v>
      </c>
      <c r="H117" s="14">
        <v>0.083</v>
      </c>
      <c r="I117" s="14">
        <v>0.063</v>
      </c>
      <c r="J117" s="14">
        <v>0.059</v>
      </c>
      <c r="K117" s="14">
        <v>0.018</v>
      </c>
      <c r="L117" s="43">
        <v>0.054</v>
      </c>
      <c r="M117" s="7">
        <v>0.092</v>
      </c>
      <c r="N117" s="7">
        <v>0.081</v>
      </c>
      <c r="O117" s="7">
        <v>0.141</v>
      </c>
    </row>
    <row r="118" spans="1:15" ht="12.75">
      <c r="A118" s="1" t="s">
        <v>177</v>
      </c>
      <c r="B118" s="6" t="s">
        <v>178</v>
      </c>
      <c r="C118" s="29">
        <v>1791838</v>
      </c>
      <c r="D118" s="7">
        <v>0.158</v>
      </c>
      <c r="E118" s="7">
        <v>0.149</v>
      </c>
      <c r="F118" s="7">
        <v>0.079</v>
      </c>
      <c r="G118" s="7">
        <v>0.558</v>
      </c>
      <c r="H118" s="7">
        <v>0.284</v>
      </c>
      <c r="I118" s="7">
        <v>0.221</v>
      </c>
      <c r="J118" s="7">
        <v>0.173</v>
      </c>
      <c r="K118" s="7">
        <v>0.173</v>
      </c>
      <c r="L118" s="42">
        <v>0.17</v>
      </c>
      <c r="M118" s="7">
        <v>0.084</v>
      </c>
      <c r="N118" s="7">
        <v>0.068</v>
      </c>
      <c r="O118" s="7">
        <v>0.081</v>
      </c>
    </row>
    <row r="119" spans="1:15" ht="12.75">
      <c r="A119" s="1" t="s">
        <v>80</v>
      </c>
      <c r="B119" s="1" t="s">
        <v>81</v>
      </c>
      <c r="C119" s="29">
        <v>2425131</v>
      </c>
      <c r="D119" s="7">
        <v>-0.11330559385156669</v>
      </c>
      <c r="E119" s="7">
        <v>-0.22158357013691554</v>
      </c>
      <c r="F119" s="7">
        <v>-0.17528979074191497</v>
      </c>
      <c r="G119" s="7">
        <v>0.25019905637408124</v>
      </c>
      <c r="H119" s="7">
        <v>0.0005322078294713872</v>
      </c>
      <c r="I119" s="7">
        <v>-0.011979580534084655</v>
      </c>
      <c r="J119" s="7">
        <v>0.02051138464410207</v>
      </c>
      <c r="K119" s="7">
        <v>0.0014223775365431734</v>
      </c>
      <c r="L119" s="42">
        <v>0.017817818751866277</v>
      </c>
      <c r="M119" s="7">
        <v>-0.03856002410001502</v>
      </c>
      <c r="N119" s="7">
        <v>-0.037878643581392146</v>
      </c>
      <c r="O119" s="7">
        <v>-0.02721648642578589</v>
      </c>
    </row>
    <row r="120" spans="1:15" ht="12.75">
      <c r="A120" s="1" t="s">
        <v>80</v>
      </c>
      <c r="B120" s="6" t="s">
        <v>152</v>
      </c>
      <c r="C120" s="29">
        <v>18431625</v>
      </c>
      <c r="D120" s="7">
        <v>0.005968026924694891</v>
      </c>
      <c r="E120" s="7">
        <v>-0.03426411294415732</v>
      </c>
      <c r="F120" s="7">
        <v>-0.03355090264699656</v>
      </c>
      <c r="G120" s="7">
        <v>0.3212337580421345</v>
      </c>
      <c r="H120" s="7">
        <v>0.10817274639315966</v>
      </c>
      <c r="I120" s="7">
        <v>0.008533046135537292</v>
      </c>
      <c r="J120" s="7">
        <v>0.009255194362534525</v>
      </c>
      <c r="K120" s="7">
        <v>-0.01928535935222042</v>
      </c>
      <c r="L120" s="42">
        <v>-0.032923482288992445</v>
      </c>
      <c r="M120" s="7">
        <v>-0.095504694924897</v>
      </c>
      <c r="N120" s="7">
        <v>-0.034839775435687725</v>
      </c>
      <c r="O120" s="7">
        <v>0.10245121360114906</v>
      </c>
    </row>
    <row r="121" spans="1:15" ht="12.75">
      <c r="A121" s="1" t="s">
        <v>80</v>
      </c>
      <c r="B121" s="6" t="s">
        <v>283</v>
      </c>
      <c r="C121" s="29">
        <v>589193</v>
      </c>
      <c r="D121" s="21">
        <v>0.177</v>
      </c>
      <c r="E121" s="21">
        <v>0.124</v>
      </c>
      <c r="F121" s="21">
        <v>0.007</v>
      </c>
      <c r="G121" s="21">
        <v>0.479</v>
      </c>
      <c r="H121" s="21">
        <v>0.297</v>
      </c>
      <c r="I121" s="21">
        <v>0.108</v>
      </c>
      <c r="J121" s="21">
        <v>0.045</v>
      </c>
      <c r="K121" s="21">
        <v>0.06</v>
      </c>
      <c r="L121" s="44">
        <v>0.059</v>
      </c>
      <c r="M121" s="21">
        <v>0.018</v>
      </c>
      <c r="N121" s="21">
        <v>-0.003</v>
      </c>
      <c r="O121" s="21">
        <v>0.162</v>
      </c>
    </row>
    <row r="122" spans="1:15" ht="12.75">
      <c r="A122" s="1" t="s">
        <v>80</v>
      </c>
      <c r="B122" s="6" t="s">
        <v>243</v>
      </c>
      <c r="C122" s="29">
        <v>1756007</v>
      </c>
      <c r="D122" s="18">
        <v>-0.3741884219390943</v>
      </c>
      <c r="E122" s="18">
        <v>-0.30498976033652514</v>
      </c>
      <c r="F122" s="18">
        <v>-0.3056526824369423</v>
      </c>
      <c r="G122" s="18">
        <v>0.5606023093024826</v>
      </c>
      <c r="H122" s="18">
        <v>0.14163806768340548</v>
      </c>
      <c r="I122" s="18">
        <v>0.030312893678836383</v>
      </c>
      <c r="J122" s="18">
        <v>-0.07016379489413871</v>
      </c>
      <c r="K122" s="18">
        <v>-0.05459468677170476</v>
      </c>
      <c r="L122" s="45">
        <v>-0.0034553980852418675</v>
      </c>
      <c r="M122" s="18">
        <v>-0.10598010174939898</v>
      </c>
      <c r="N122" s="18">
        <v>-0.07414378138714206</v>
      </c>
      <c r="O122" s="18">
        <v>-0.050043531887107306</v>
      </c>
    </row>
    <row r="123" spans="1:15" ht="12.75">
      <c r="A123" s="1" t="s">
        <v>95</v>
      </c>
      <c r="B123" s="8" t="s">
        <v>102</v>
      </c>
      <c r="C123" s="29">
        <v>1387287</v>
      </c>
      <c r="D123" s="7">
        <v>0.068</v>
      </c>
      <c r="E123" s="7">
        <v>0.073</v>
      </c>
      <c r="F123" s="7">
        <v>0.102</v>
      </c>
      <c r="G123" s="7">
        <v>0.275</v>
      </c>
      <c r="H123" s="7">
        <v>0.13</v>
      </c>
      <c r="I123" s="7">
        <v>0.136</v>
      </c>
      <c r="J123" s="7">
        <v>0.08</v>
      </c>
      <c r="K123" s="7">
        <v>0.048</v>
      </c>
      <c r="L123" s="42">
        <v>0.068</v>
      </c>
      <c r="M123" s="7">
        <v>0.078</v>
      </c>
      <c r="N123" s="7">
        <v>0.014</v>
      </c>
      <c r="O123" s="7">
        <v>0.029</v>
      </c>
    </row>
    <row r="124" spans="1:15" ht="12.75">
      <c r="A124" s="1" t="s">
        <v>95</v>
      </c>
      <c r="B124" s="8" t="s">
        <v>66</v>
      </c>
      <c r="C124" s="29">
        <v>139570874</v>
      </c>
      <c r="D124" s="7">
        <v>0.107</v>
      </c>
      <c r="E124" s="7">
        <v>0.047</v>
      </c>
      <c r="F124" s="7">
        <v>0.057</v>
      </c>
      <c r="G124" s="7">
        <v>0.196</v>
      </c>
      <c r="H124" s="7">
        <v>0.056</v>
      </c>
      <c r="I124" s="7">
        <v>0.075</v>
      </c>
      <c r="J124" s="7">
        <v>0.075</v>
      </c>
      <c r="K124" s="7">
        <v>0.042</v>
      </c>
      <c r="L124" s="42">
        <v>0.06</v>
      </c>
      <c r="M124" s="7">
        <v>0.034</v>
      </c>
      <c r="N124" s="7">
        <v>0.003</v>
      </c>
      <c r="O124" s="7">
        <v>0.027</v>
      </c>
    </row>
    <row r="125" spans="1:15" ht="12.75">
      <c r="A125" s="1" t="s">
        <v>95</v>
      </c>
      <c r="B125" s="8" t="s">
        <v>110</v>
      </c>
      <c r="C125" s="29">
        <v>510605</v>
      </c>
      <c r="D125" s="7">
        <v>0.244</v>
      </c>
      <c r="E125" s="7">
        <v>0.282</v>
      </c>
      <c r="F125" s="7">
        <v>0.251</v>
      </c>
      <c r="G125" s="7">
        <v>0.518</v>
      </c>
      <c r="H125" s="7">
        <v>0.309</v>
      </c>
      <c r="I125" s="7">
        <v>0.165</v>
      </c>
      <c r="J125" s="7">
        <v>0.204</v>
      </c>
      <c r="K125" s="7">
        <v>0.185</v>
      </c>
      <c r="L125" s="42">
        <v>0.144</v>
      </c>
      <c r="M125" s="7">
        <v>0.07</v>
      </c>
      <c r="N125" s="7">
        <v>-0.089</v>
      </c>
      <c r="O125" s="7">
        <v>-0.003</v>
      </c>
    </row>
    <row r="126" spans="1:15" ht="12.75">
      <c r="A126" s="1" t="s">
        <v>95</v>
      </c>
      <c r="B126" s="8" t="s">
        <v>97</v>
      </c>
      <c r="C126" s="29">
        <v>3394241</v>
      </c>
      <c r="D126" s="7">
        <v>0.215</v>
      </c>
      <c r="E126" s="7">
        <v>0.072</v>
      </c>
      <c r="F126" s="7">
        <v>0.133</v>
      </c>
      <c r="G126" s="7">
        <v>0.225</v>
      </c>
      <c r="H126" s="7">
        <v>0.06</v>
      </c>
      <c r="I126" s="7">
        <v>0.072</v>
      </c>
      <c r="J126" s="7">
        <v>0.047</v>
      </c>
      <c r="K126" s="7">
        <v>0.037</v>
      </c>
      <c r="L126" s="42">
        <v>0.075</v>
      </c>
      <c r="M126" s="7">
        <v>0.131</v>
      </c>
      <c r="N126" s="7">
        <v>0.074</v>
      </c>
      <c r="O126" s="7">
        <v>0.1</v>
      </c>
    </row>
    <row r="127" spans="1:15" ht="12.75">
      <c r="A127" s="1" t="s">
        <v>95</v>
      </c>
      <c r="B127" s="8" t="s">
        <v>83</v>
      </c>
      <c r="C127" s="29">
        <v>5503106</v>
      </c>
      <c r="D127" s="7">
        <v>0.234</v>
      </c>
      <c r="E127" s="7">
        <v>0.135</v>
      </c>
      <c r="F127" s="7">
        <v>0.117</v>
      </c>
      <c r="G127" s="7">
        <v>0.26</v>
      </c>
      <c r="H127" s="7">
        <v>0.053</v>
      </c>
      <c r="I127" s="7">
        <v>0.045</v>
      </c>
      <c r="J127" s="7">
        <v>0.089</v>
      </c>
      <c r="K127" s="7">
        <v>0.024</v>
      </c>
      <c r="L127" s="42">
        <v>0.036</v>
      </c>
      <c r="M127" s="7">
        <v>0.007</v>
      </c>
      <c r="N127" s="7">
        <v>-0.072</v>
      </c>
      <c r="O127" s="7">
        <v>-0.013</v>
      </c>
    </row>
    <row r="128" spans="1:15" ht="12.75">
      <c r="A128" s="1" t="s">
        <v>95</v>
      </c>
      <c r="B128" s="8" t="s">
        <v>112</v>
      </c>
      <c r="C128" s="29">
        <v>160741</v>
      </c>
      <c r="D128" s="7">
        <v>-0.725</v>
      </c>
      <c r="E128" s="7">
        <v>-0.752</v>
      </c>
      <c r="F128" s="7">
        <v>-0.762</v>
      </c>
      <c r="G128" s="7">
        <v>-0.784</v>
      </c>
      <c r="H128" s="7">
        <v>-0.911</v>
      </c>
      <c r="I128" s="7">
        <v>-0.865</v>
      </c>
      <c r="J128" s="7">
        <v>-0.733</v>
      </c>
      <c r="K128" s="7">
        <v>-0.927</v>
      </c>
      <c r="L128" s="42">
        <v>-0.873</v>
      </c>
      <c r="M128" s="7">
        <v>-0.826</v>
      </c>
      <c r="N128" s="7">
        <v>-0.942</v>
      </c>
      <c r="O128" s="7">
        <v>-0.21</v>
      </c>
    </row>
    <row r="129" spans="1:15" ht="12.75">
      <c r="A129" s="1" t="s">
        <v>95</v>
      </c>
      <c r="B129" s="8" t="s">
        <v>104</v>
      </c>
      <c r="C129" s="29">
        <v>1604306</v>
      </c>
      <c r="D129" s="7">
        <v>0.581</v>
      </c>
      <c r="E129" s="7">
        <v>0.328</v>
      </c>
      <c r="F129" s="7">
        <v>0.313</v>
      </c>
      <c r="G129" s="7">
        <v>0.474</v>
      </c>
      <c r="H129" s="7">
        <v>0.293</v>
      </c>
      <c r="I129" s="7">
        <v>0.322</v>
      </c>
      <c r="J129" s="7">
        <v>0.26</v>
      </c>
      <c r="K129" s="7">
        <v>0.213</v>
      </c>
      <c r="L129" s="42">
        <v>0.242</v>
      </c>
      <c r="M129" s="7">
        <v>0.266</v>
      </c>
      <c r="N129" s="7">
        <v>0.154</v>
      </c>
      <c r="O129" s="7">
        <v>0.158</v>
      </c>
    </row>
    <row r="130" spans="1:15" ht="12.75">
      <c r="A130" s="1" t="s">
        <v>95</v>
      </c>
      <c r="B130" s="8" t="s">
        <v>96</v>
      </c>
      <c r="C130" s="29">
        <v>3438298</v>
      </c>
      <c r="D130" s="7">
        <v>0.028</v>
      </c>
      <c r="E130" s="7">
        <v>-0.018</v>
      </c>
      <c r="F130" s="7">
        <v>0.002</v>
      </c>
      <c r="G130" s="7">
        <v>0.156</v>
      </c>
      <c r="H130" s="7">
        <v>0.073</v>
      </c>
      <c r="I130" s="7">
        <v>0.14</v>
      </c>
      <c r="J130" s="7">
        <v>0.164</v>
      </c>
      <c r="K130" s="7">
        <v>0.126</v>
      </c>
      <c r="L130" s="42">
        <v>0.097</v>
      </c>
      <c r="M130" s="7">
        <v>-0.004</v>
      </c>
      <c r="N130" s="7">
        <v>-0.057</v>
      </c>
      <c r="O130" s="7">
        <v>0.028</v>
      </c>
    </row>
    <row r="131" spans="1:15" ht="12.75">
      <c r="A131" s="1" t="s">
        <v>95</v>
      </c>
      <c r="B131" s="8" t="s">
        <v>84</v>
      </c>
      <c r="C131" s="29">
        <v>6318177</v>
      </c>
      <c r="D131" s="7">
        <v>0.075</v>
      </c>
      <c r="E131" s="7">
        <v>0.024</v>
      </c>
      <c r="F131" s="7">
        <v>0.059</v>
      </c>
      <c r="G131" s="7">
        <v>0.16</v>
      </c>
      <c r="H131" s="7">
        <v>0.059</v>
      </c>
      <c r="I131" s="7">
        <v>0.118</v>
      </c>
      <c r="J131" s="7">
        <v>0.082</v>
      </c>
      <c r="K131" s="7">
        <v>0.064</v>
      </c>
      <c r="L131" s="42">
        <v>0.059</v>
      </c>
      <c r="M131" s="7">
        <v>0.066</v>
      </c>
      <c r="N131" s="7">
        <v>0.056</v>
      </c>
      <c r="O131" s="7">
        <v>0.056</v>
      </c>
    </row>
    <row r="132" spans="1:15" ht="12.75">
      <c r="A132" s="1" t="s">
        <v>95</v>
      </c>
      <c r="B132" s="8" t="s">
        <v>98</v>
      </c>
      <c r="C132" s="29">
        <v>1724924</v>
      </c>
      <c r="D132" s="7">
        <v>0.104</v>
      </c>
      <c r="E132" s="7">
        <v>-0.031</v>
      </c>
      <c r="F132" s="7">
        <v>0.078</v>
      </c>
      <c r="G132" s="7">
        <v>0.388</v>
      </c>
      <c r="H132" s="7">
        <v>0.115</v>
      </c>
      <c r="I132" s="7">
        <v>0.151</v>
      </c>
      <c r="J132" s="7">
        <v>0.145</v>
      </c>
      <c r="K132" s="7">
        <v>0.129</v>
      </c>
      <c r="L132" s="42">
        <v>0.049</v>
      </c>
      <c r="M132" s="7">
        <v>-0.01</v>
      </c>
      <c r="N132" s="7">
        <v>-0.007</v>
      </c>
      <c r="O132" s="7">
        <v>0.047</v>
      </c>
    </row>
    <row r="133" spans="1:15" ht="12.75">
      <c r="A133" s="1" t="s">
        <v>95</v>
      </c>
      <c r="B133" s="8" t="s">
        <v>106</v>
      </c>
      <c r="C133" s="29">
        <v>639820</v>
      </c>
      <c r="D133" s="7">
        <v>0.105</v>
      </c>
      <c r="E133" s="7">
        <v>0.218</v>
      </c>
      <c r="F133" s="7">
        <v>0.037</v>
      </c>
      <c r="G133" s="7">
        <v>-0.434</v>
      </c>
      <c r="H133" s="7">
        <v>-0.564</v>
      </c>
      <c r="I133" s="7">
        <v>-0.587</v>
      </c>
      <c r="J133" s="7">
        <v>-0.602</v>
      </c>
      <c r="K133" s="7">
        <v>-0.649</v>
      </c>
      <c r="L133" s="42">
        <v>-0.55</v>
      </c>
      <c r="M133" s="7">
        <v>-0.538</v>
      </c>
      <c r="N133" s="7">
        <v>-0.512</v>
      </c>
      <c r="O133" s="7">
        <v>-0.584</v>
      </c>
    </row>
    <row r="134" spans="1:15" ht="12.75">
      <c r="A134" s="1" t="s">
        <v>95</v>
      </c>
      <c r="B134" s="8" t="s">
        <v>103</v>
      </c>
      <c r="C134" s="29">
        <v>1278037</v>
      </c>
      <c r="D134" s="7">
        <v>0.235</v>
      </c>
      <c r="E134" s="7">
        <v>0.119</v>
      </c>
      <c r="F134" s="7">
        <v>0.083</v>
      </c>
      <c r="G134" s="7">
        <v>0.271</v>
      </c>
      <c r="H134" s="7">
        <v>0.012</v>
      </c>
      <c r="I134" s="7">
        <v>0.059</v>
      </c>
      <c r="J134" s="7">
        <v>0.082</v>
      </c>
      <c r="K134" s="7">
        <v>0.057</v>
      </c>
      <c r="L134" s="42">
        <v>0.051</v>
      </c>
      <c r="M134" s="7">
        <v>0.03</v>
      </c>
      <c r="N134" s="7">
        <v>0.081</v>
      </c>
      <c r="O134" s="7">
        <v>0.169</v>
      </c>
    </row>
    <row r="135" spans="1:15" ht="12.75">
      <c r="A135" s="1" t="s">
        <v>95</v>
      </c>
      <c r="B135" s="8" t="s">
        <v>101</v>
      </c>
      <c r="C135" s="29">
        <v>1915074</v>
      </c>
      <c r="D135" s="7">
        <v>0.216</v>
      </c>
      <c r="E135" s="7">
        <v>0.152</v>
      </c>
      <c r="F135" s="7">
        <v>0.124</v>
      </c>
      <c r="G135" s="7">
        <v>0.33</v>
      </c>
      <c r="H135" s="7">
        <v>0.179</v>
      </c>
      <c r="I135" s="7">
        <v>0.199</v>
      </c>
      <c r="J135" s="7">
        <v>0.224</v>
      </c>
      <c r="K135" s="7">
        <v>0.241</v>
      </c>
      <c r="L135" s="42">
        <v>0.193</v>
      </c>
      <c r="M135" s="7">
        <v>0.204</v>
      </c>
      <c r="N135" s="7">
        <v>0.164</v>
      </c>
      <c r="O135" s="7">
        <v>0.139</v>
      </c>
    </row>
    <row r="136" spans="1:15" ht="12.75">
      <c r="A136" s="1" t="s">
        <v>95</v>
      </c>
      <c r="B136" s="8" t="s">
        <v>82</v>
      </c>
      <c r="C136" s="29">
        <v>7674604</v>
      </c>
      <c r="D136" s="7">
        <v>0.073</v>
      </c>
      <c r="E136" s="7">
        <v>0.041</v>
      </c>
      <c r="F136" s="7">
        <v>0.07</v>
      </c>
      <c r="G136" s="7">
        <v>0.308</v>
      </c>
      <c r="H136" s="7">
        <v>0.087</v>
      </c>
      <c r="I136" s="7">
        <v>0.076</v>
      </c>
      <c r="J136" s="7">
        <v>0.088</v>
      </c>
      <c r="K136" s="7">
        <v>0.079</v>
      </c>
      <c r="L136" s="42">
        <v>0.111</v>
      </c>
      <c r="M136" s="7">
        <v>0.084</v>
      </c>
      <c r="N136" s="7">
        <v>0.05</v>
      </c>
      <c r="O136" s="7">
        <v>0.122</v>
      </c>
    </row>
    <row r="137" spans="1:15" ht="12.75">
      <c r="A137" s="1" t="s">
        <v>95</v>
      </c>
      <c r="B137" s="8" t="s">
        <v>85</v>
      </c>
      <c r="C137" s="29">
        <v>8296450</v>
      </c>
      <c r="D137" s="7">
        <v>0.131</v>
      </c>
      <c r="E137" s="7">
        <v>0.058</v>
      </c>
      <c r="F137" s="7">
        <v>0.065</v>
      </c>
      <c r="G137" s="7">
        <v>0.252</v>
      </c>
      <c r="H137" s="7">
        <v>0.121</v>
      </c>
      <c r="I137" s="7">
        <v>0.121</v>
      </c>
      <c r="J137" s="7">
        <v>0.106</v>
      </c>
      <c r="K137" s="7">
        <v>0.073</v>
      </c>
      <c r="L137" s="42">
        <v>0.069</v>
      </c>
      <c r="M137" s="7">
        <v>0.052</v>
      </c>
      <c r="N137" s="7">
        <v>0.041</v>
      </c>
      <c r="O137" s="7">
        <v>0.047</v>
      </c>
    </row>
    <row r="138" spans="1:15" ht="12.75">
      <c r="A138" s="1" t="s">
        <v>95</v>
      </c>
      <c r="B138" s="8" t="s">
        <v>86</v>
      </c>
      <c r="C138" s="29">
        <v>18947808</v>
      </c>
      <c r="D138" s="7">
        <v>0.09</v>
      </c>
      <c r="E138" s="7">
        <v>0.032</v>
      </c>
      <c r="F138" s="7">
        <v>0.024</v>
      </c>
      <c r="G138" s="7">
        <v>0.198</v>
      </c>
      <c r="H138" s="7">
        <v>-0.007</v>
      </c>
      <c r="I138" s="7">
        <v>0.008</v>
      </c>
      <c r="J138" s="7">
        <v>0.025</v>
      </c>
      <c r="K138" s="7">
        <v>-0.009</v>
      </c>
      <c r="L138" s="42">
        <v>0.011</v>
      </c>
      <c r="M138" s="7">
        <v>-0.024</v>
      </c>
      <c r="N138" s="7">
        <v>-0.056</v>
      </c>
      <c r="O138" s="7">
        <v>-0.041</v>
      </c>
    </row>
    <row r="139" spans="1:15" ht="12.75">
      <c r="A139" s="1" t="s">
        <v>95</v>
      </c>
      <c r="B139" s="8" t="s">
        <v>87</v>
      </c>
      <c r="C139" s="29">
        <v>5571738</v>
      </c>
      <c r="D139" s="7">
        <v>0.093</v>
      </c>
      <c r="E139" s="7">
        <v>0.023</v>
      </c>
      <c r="F139" s="7">
        <v>0.013</v>
      </c>
      <c r="G139" s="7">
        <v>0.17</v>
      </c>
      <c r="H139" s="7">
        <v>0.016</v>
      </c>
      <c r="I139" s="7">
        <v>0.029</v>
      </c>
      <c r="J139" s="7">
        <v>0.012</v>
      </c>
      <c r="K139" s="7">
        <v>-0.001</v>
      </c>
      <c r="L139" s="42">
        <v>0.023</v>
      </c>
      <c r="M139" s="7">
        <v>0.027</v>
      </c>
      <c r="N139" s="7">
        <v>0.023</v>
      </c>
      <c r="O139" s="7">
        <v>0.016</v>
      </c>
    </row>
    <row r="140" spans="1:15" ht="12.75">
      <c r="A140" s="1" t="s">
        <v>95</v>
      </c>
      <c r="B140" s="8" t="s">
        <v>99</v>
      </c>
      <c r="C140" s="29">
        <v>1635197</v>
      </c>
      <c r="D140" s="7">
        <v>0.075</v>
      </c>
      <c r="E140" s="7">
        <v>0.068</v>
      </c>
      <c r="F140" s="7">
        <v>0.043</v>
      </c>
      <c r="G140" s="7">
        <v>0.324</v>
      </c>
      <c r="H140" s="7">
        <v>0.046</v>
      </c>
      <c r="I140" s="7">
        <v>0.167</v>
      </c>
      <c r="J140" s="7">
        <v>0.211</v>
      </c>
      <c r="K140" s="7">
        <v>0.128</v>
      </c>
      <c r="L140" s="42">
        <v>0.193</v>
      </c>
      <c r="M140" s="7">
        <v>0.104</v>
      </c>
      <c r="N140" s="7">
        <v>-0.059</v>
      </c>
      <c r="O140" s="7">
        <v>-0.03</v>
      </c>
    </row>
    <row r="141" spans="1:15" ht="12.75">
      <c r="A141" s="1" t="s">
        <v>95</v>
      </c>
      <c r="B141" s="8" t="s">
        <v>88</v>
      </c>
      <c r="C141" s="29">
        <v>4363546</v>
      </c>
      <c r="D141" s="7">
        <v>0.144</v>
      </c>
      <c r="E141" s="7">
        <v>0.068</v>
      </c>
      <c r="F141" s="7">
        <v>0.226</v>
      </c>
      <c r="G141" s="7">
        <v>0.246</v>
      </c>
      <c r="H141" s="7">
        <v>0.153</v>
      </c>
      <c r="I141" s="7">
        <v>0.17</v>
      </c>
      <c r="J141" s="7">
        <v>0.165</v>
      </c>
      <c r="K141" s="7">
        <v>0.091</v>
      </c>
      <c r="L141" s="42">
        <v>0.231</v>
      </c>
      <c r="M141" s="7">
        <v>0.176</v>
      </c>
      <c r="N141" s="7">
        <v>0.019</v>
      </c>
      <c r="O141" s="7">
        <v>-0.016</v>
      </c>
    </row>
    <row r="142" spans="1:15" ht="12.75">
      <c r="A142" s="1" t="s">
        <v>95</v>
      </c>
      <c r="B142" s="8" t="s">
        <v>296</v>
      </c>
      <c r="C142" s="29">
        <v>238812</v>
      </c>
      <c r="D142" s="7">
        <v>-0.345</v>
      </c>
      <c r="E142" s="7">
        <v>-0.353</v>
      </c>
      <c r="F142" s="7">
        <v>-0.222</v>
      </c>
      <c r="G142" s="7">
        <v>0.395</v>
      </c>
      <c r="H142" s="7">
        <v>0.308</v>
      </c>
      <c r="I142" s="7">
        <v>0.369</v>
      </c>
      <c r="J142" s="7">
        <v>0.229</v>
      </c>
      <c r="K142" s="7">
        <v>0.202</v>
      </c>
      <c r="L142" s="42">
        <v>0.304</v>
      </c>
      <c r="M142" s="7">
        <v>0.321</v>
      </c>
      <c r="N142" s="7">
        <v>0.15</v>
      </c>
      <c r="O142" s="7">
        <v>0.056</v>
      </c>
    </row>
    <row r="143" spans="1:15" ht="12.75">
      <c r="A143" s="1" t="s">
        <v>95</v>
      </c>
      <c r="B143" s="8" t="s">
        <v>361</v>
      </c>
      <c r="C143" s="29">
        <v>108160</v>
      </c>
      <c r="D143" s="7">
        <v>0.699</v>
      </c>
      <c r="E143" s="7">
        <v>0.237</v>
      </c>
      <c r="F143" s="7">
        <v>0.652</v>
      </c>
      <c r="G143" s="7">
        <v>0.852</v>
      </c>
      <c r="H143" s="7">
        <v>0.67</v>
      </c>
      <c r="I143" s="7">
        <v>0.735</v>
      </c>
      <c r="J143" s="7">
        <v>0.559</v>
      </c>
      <c r="K143" s="7">
        <v>0.658</v>
      </c>
      <c r="L143" s="42">
        <v>1.023</v>
      </c>
      <c r="M143" s="7">
        <v>0.759</v>
      </c>
      <c r="N143" s="7">
        <v>-0.193</v>
      </c>
      <c r="O143" s="7">
        <v>-0.1</v>
      </c>
    </row>
    <row r="144" spans="1:15" ht="12.75">
      <c r="A144" s="1" t="s">
        <v>95</v>
      </c>
      <c r="B144" s="8" t="s">
        <v>111</v>
      </c>
      <c r="C144" s="29">
        <v>456911</v>
      </c>
      <c r="D144" s="7">
        <v>-0.105</v>
      </c>
      <c r="E144" s="7">
        <v>-0.159</v>
      </c>
      <c r="F144" s="7">
        <v>0.025</v>
      </c>
      <c r="G144" s="7">
        <v>0.759</v>
      </c>
      <c r="H144" s="7">
        <v>0.479</v>
      </c>
      <c r="I144" s="7">
        <v>0.216</v>
      </c>
      <c r="J144" s="7">
        <v>0.034</v>
      </c>
      <c r="K144" s="7">
        <v>0.042</v>
      </c>
      <c r="L144" s="42">
        <v>0.225</v>
      </c>
      <c r="M144" s="7">
        <v>0.305</v>
      </c>
      <c r="N144" s="7">
        <v>0.383</v>
      </c>
      <c r="O144" s="7">
        <v>0.366</v>
      </c>
    </row>
    <row r="145" spans="1:15" ht="12.75">
      <c r="A145" s="1" t="s">
        <v>95</v>
      </c>
      <c r="B145" s="8" t="s">
        <v>89</v>
      </c>
      <c r="C145" s="29">
        <v>4058957</v>
      </c>
      <c r="D145" s="7">
        <v>0.157</v>
      </c>
      <c r="E145" s="7">
        <v>0.096</v>
      </c>
      <c r="F145" s="7">
        <v>0.13</v>
      </c>
      <c r="G145" s="7">
        <v>0.348</v>
      </c>
      <c r="H145" s="7">
        <v>0.065</v>
      </c>
      <c r="I145" s="7">
        <v>0.071</v>
      </c>
      <c r="J145" s="7">
        <v>0.102</v>
      </c>
      <c r="K145" s="7">
        <v>0.085</v>
      </c>
      <c r="L145" s="42">
        <v>0.071</v>
      </c>
      <c r="M145" s="7">
        <v>0.079</v>
      </c>
      <c r="N145" s="7">
        <v>0.059</v>
      </c>
      <c r="O145" s="7">
        <v>0.224</v>
      </c>
    </row>
    <row r="146" spans="1:15" ht="12.75">
      <c r="A146" s="1" t="s">
        <v>95</v>
      </c>
      <c r="B146" s="8" t="s">
        <v>107</v>
      </c>
      <c r="C146" s="29">
        <v>545141</v>
      </c>
      <c r="D146" s="7">
        <v>0.186</v>
      </c>
      <c r="E146" s="7">
        <v>0.046</v>
      </c>
      <c r="F146" s="7">
        <v>0.079</v>
      </c>
      <c r="G146" s="7">
        <v>0.176</v>
      </c>
      <c r="H146" s="7">
        <v>0.052</v>
      </c>
      <c r="I146" s="7">
        <v>-0.002</v>
      </c>
      <c r="J146" s="7">
        <v>-0.117</v>
      </c>
      <c r="K146" s="7">
        <v>0.009</v>
      </c>
      <c r="L146" s="42">
        <v>-0.035</v>
      </c>
      <c r="M146" s="7">
        <v>0.077</v>
      </c>
      <c r="N146" s="7">
        <v>0.052</v>
      </c>
      <c r="O146" s="7">
        <v>-0.035</v>
      </c>
    </row>
    <row r="147" spans="1:15" ht="12.75">
      <c r="A147" s="1" t="s">
        <v>95</v>
      </c>
      <c r="B147" s="8" t="s">
        <v>109</v>
      </c>
      <c r="C147" s="29">
        <v>549134</v>
      </c>
      <c r="D147" s="7">
        <v>0.482</v>
      </c>
      <c r="E147" s="7">
        <v>0.252</v>
      </c>
      <c r="F147" s="7">
        <v>0.213</v>
      </c>
      <c r="G147" s="7">
        <v>2.046</v>
      </c>
      <c r="H147" s="7">
        <v>0.704</v>
      </c>
      <c r="I147" s="7">
        <v>0.651</v>
      </c>
      <c r="J147" s="7">
        <v>0.479</v>
      </c>
      <c r="K147" s="7">
        <v>0.524</v>
      </c>
      <c r="L147" s="42">
        <v>0.573</v>
      </c>
      <c r="M147" s="7">
        <v>0.739</v>
      </c>
      <c r="N147" s="7">
        <v>0.871</v>
      </c>
      <c r="O147" s="7">
        <v>1.158</v>
      </c>
    </row>
    <row r="148" spans="1:15" ht="12.75">
      <c r="A148" s="1" t="s">
        <v>95</v>
      </c>
      <c r="B148" s="8" t="s">
        <v>90</v>
      </c>
      <c r="C148" s="29">
        <v>4531834</v>
      </c>
      <c r="D148" s="7">
        <v>0.086</v>
      </c>
      <c r="E148" s="7">
        <v>0.014</v>
      </c>
      <c r="F148" s="7">
        <v>0.006</v>
      </c>
      <c r="G148" s="7">
        <v>0.243</v>
      </c>
      <c r="H148" s="7">
        <v>0.073</v>
      </c>
      <c r="I148" s="7">
        <v>0.064</v>
      </c>
      <c r="J148" s="7">
        <v>0.071</v>
      </c>
      <c r="K148" s="7">
        <v>-0.015</v>
      </c>
      <c r="L148" s="42">
        <v>0.022</v>
      </c>
      <c r="M148" s="7">
        <v>0.042</v>
      </c>
      <c r="N148" s="7">
        <v>-0.026</v>
      </c>
      <c r="O148" s="7">
        <v>0.022</v>
      </c>
    </row>
    <row r="149" spans="1:15" ht="12.75">
      <c r="A149" s="1" t="s">
        <v>95</v>
      </c>
      <c r="B149" s="8" t="s">
        <v>91</v>
      </c>
      <c r="C149" s="29">
        <v>36337050</v>
      </c>
      <c r="D149" s="7">
        <v>0.058</v>
      </c>
      <c r="E149" s="7">
        <v>0.029</v>
      </c>
      <c r="F149" s="7">
        <v>0.015</v>
      </c>
      <c r="G149" s="7">
        <v>0.082</v>
      </c>
      <c r="H149" s="7">
        <v>0.045</v>
      </c>
      <c r="I149" s="7">
        <v>0.064</v>
      </c>
      <c r="J149" s="7">
        <v>0.061</v>
      </c>
      <c r="K149" s="7">
        <v>0.03</v>
      </c>
      <c r="L149" s="42">
        <v>0.045</v>
      </c>
      <c r="M149" s="7">
        <v>0.002</v>
      </c>
      <c r="N149" s="7">
        <v>-0.007</v>
      </c>
      <c r="O149" s="7">
        <v>0.001</v>
      </c>
    </row>
    <row r="150" spans="1:15" s="1" customFormat="1" ht="12.75">
      <c r="A150" s="1" t="s">
        <v>95</v>
      </c>
      <c r="B150" s="8" t="s">
        <v>108</v>
      </c>
      <c r="C150" s="29">
        <v>1681886</v>
      </c>
      <c r="D150" s="7">
        <v>0.398</v>
      </c>
      <c r="E150" s="7">
        <v>0.286</v>
      </c>
      <c r="F150" s="7">
        <v>-0.112</v>
      </c>
      <c r="G150" s="7">
        <v>0.014</v>
      </c>
      <c r="H150" s="7">
        <v>-0.2</v>
      </c>
      <c r="I150" s="7">
        <v>-0.191</v>
      </c>
      <c r="J150" s="7">
        <v>-0.186</v>
      </c>
      <c r="K150" s="7">
        <v>-0.21</v>
      </c>
      <c r="L150" s="42">
        <v>-0.221</v>
      </c>
      <c r="M150" s="7">
        <v>-0.204</v>
      </c>
      <c r="N150" s="7">
        <v>-0.167</v>
      </c>
      <c r="O150" s="7">
        <v>-0.112</v>
      </c>
    </row>
    <row r="151" spans="1:15" ht="12.75">
      <c r="A151" s="1" t="s">
        <v>95</v>
      </c>
      <c r="B151" s="8" t="s">
        <v>100</v>
      </c>
      <c r="C151" s="29">
        <v>2145582</v>
      </c>
      <c r="D151" s="7">
        <v>0.282</v>
      </c>
      <c r="E151" s="7">
        <v>0.218</v>
      </c>
      <c r="F151" s="7">
        <v>0.373</v>
      </c>
      <c r="G151" s="7">
        <v>0.464</v>
      </c>
      <c r="H151" s="7">
        <v>0.13</v>
      </c>
      <c r="I151" s="7">
        <v>-1</v>
      </c>
      <c r="J151" s="7">
        <v>-1</v>
      </c>
      <c r="K151" s="7">
        <v>-1</v>
      </c>
      <c r="L151" s="42">
        <v>-1</v>
      </c>
      <c r="M151" s="7">
        <v>-1</v>
      </c>
      <c r="N151" s="7">
        <v>-1</v>
      </c>
      <c r="O151" s="7">
        <v>-0.191</v>
      </c>
    </row>
    <row r="152" spans="1:15" ht="12.75">
      <c r="A152" s="1" t="s">
        <v>95</v>
      </c>
      <c r="B152" s="8" t="s">
        <v>105</v>
      </c>
      <c r="C152" s="29">
        <v>723279</v>
      </c>
      <c r="D152" s="7">
        <v>0.248</v>
      </c>
      <c r="E152" s="7">
        <v>0.24</v>
      </c>
      <c r="F152" s="7">
        <v>0.333</v>
      </c>
      <c r="G152" s="7">
        <v>0.425</v>
      </c>
      <c r="H152" s="7">
        <v>0.201</v>
      </c>
      <c r="I152" s="7">
        <v>0.211</v>
      </c>
      <c r="J152" s="7">
        <v>0.278</v>
      </c>
      <c r="K152" s="7">
        <v>0.239</v>
      </c>
      <c r="L152" s="42">
        <v>0.251</v>
      </c>
      <c r="M152" s="7">
        <v>0.003</v>
      </c>
      <c r="N152" s="7">
        <v>-0.049</v>
      </c>
      <c r="O152" s="7">
        <v>-0.093</v>
      </c>
    </row>
    <row r="153" spans="1:15" ht="12.75">
      <c r="A153" s="1" t="s">
        <v>95</v>
      </c>
      <c r="B153" s="8" t="s">
        <v>92</v>
      </c>
      <c r="C153" s="29">
        <v>3552519</v>
      </c>
      <c r="D153" s="7">
        <v>0.078</v>
      </c>
      <c r="E153" s="7">
        <v>0.034</v>
      </c>
      <c r="F153" s="7">
        <v>0.001</v>
      </c>
      <c r="G153" s="7">
        <v>0.113</v>
      </c>
      <c r="H153" s="7">
        <v>0.029</v>
      </c>
      <c r="I153" s="7">
        <v>0.084</v>
      </c>
      <c r="J153" s="7">
        <v>-0.002</v>
      </c>
      <c r="K153" s="7">
        <v>-0.015</v>
      </c>
      <c r="L153" s="42">
        <v>0.052</v>
      </c>
      <c r="M153" s="7">
        <v>0.038</v>
      </c>
      <c r="N153" s="7">
        <v>0.042</v>
      </c>
      <c r="O153" s="7">
        <v>0.075</v>
      </c>
    </row>
    <row r="154" spans="1:15" ht="12.75">
      <c r="A154" s="1" t="s">
        <v>95</v>
      </c>
      <c r="B154" s="8" t="s">
        <v>93</v>
      </c>
      <c r="C154" s="29">
        <v>6854595</v>
      </c>
      <c r="D154" s="7">
        <v>0.092</v>
      </c>
      <c r="E154" s="7">
        <v>-0.018</v>
      </c>
      <c r="F154" s="7">
        <v>0.076</v>
      </c>
      <c r="G154" s="7">
        <v>0.233</v>
      </c>
      <c r="H154" s="7">
        <v>0.016</v>
      </c>
      <c r="I154" s="7">
        <v>0.395</v>
      </c>
      <c r="J154" s="7">
        <v>0.4</v>
      </c>
      <c r="K154" s="7">
        <v>0.347</v>
      </c>
      <c r="L154" s="42">
        <v>0.348</v>
      </c>
      <c r="M154" s="7">
        <v>0.337</v>
      </c>
      <c r="N154" s="7">
        <v>0.365</v>
      </c>
      <c r="O154" s="7">
        <v>0.142</v>
      </c>
    </row>
    <row r="155" spans="1:15" ht="12.75">
      <c r="A155" s="1" t="s">
        <v>95</v>
      </c>
      <c r="B155" s="8" t="s">
        <v>94</v>
      </c>
      <c r="C155" s="29">
        <v>3016669</v>
      </c>
      <c r="D155" s="7">
        <v>0.236</v>
      </c>
      <c r="E155" s="7">
        <v>0.091</v>
      </c>
      <c r="F155" s="7">
        <v>0.133</v>
      </c>
      <c r="G155" s="7">
        <v>0.231</v>
      </c>
      <c r="H155" s="7">
        <v>0.057</v>
      </c>
      <c r="I155" s="7">
        <v>0.084</v>
      </c>
      <c r="J155" s="7">
        <v>0.138</v>
      </c>
      <c r="K155" s="7">
        <v>0.111</v>
      </c>
      <c r="L155" s="42">
        <v>0.12</v>
      </c>
      <c r="M155" s="7">
        <v>0.129</v>
      </c>
      <c r="N155" s="7">
        <v>0.082</v>
      </c>
      <c r="O155" s="7">
        <v>0.07</v>
      </c>
    </row>
    <row r="156" spans="1:15" ht="12.75">
      <c r="A156" s="1" t="s">
        <v>351</v>
      </c>
      <c r="B156" s="6" t="s">
        <v>348</v>
      </c>
      <c r="C156" s="29">
        <v>1305533</v>
      </c>
      <c r="D156" s="7">
        <v>0.11389199024107843</v>
      </c>
      <c r="E156" s="7">
        <v>0.06650246305418728</v>
      </c>
      <c r="F156" s="7">
        <v>0.0406686196794761</v>
      </c>
      <c r="G156" s="7">
        <v>0.342</v>
      </c>
      <c r="H156" s="7">
        <v>0.015</v>
      </c>
      <c r="I156" s="7">
        <v>0.076</v>
      </c>
      <c r="J156" s="7">
        <v>0.0948090973367901</v>
      </c>
      <c r="K156" s="7">
        <v>0.053372669974520504</v>
      </c>
      <c r="L156" s="42">
        <v>0.05485822144052155</v>
      </c>
      <c r="M156" s="7">
        <v>0.10241327444649895</v>
      </c>
      <c r="N156" s="7"/>
      <c r="O156" s="7">
        <v>0.063</v>
      </c>
    </row>
    <row r="157" spans="1:15" ht="12.75">
      <c r="A157" s="1" t="s">
        <v>227</v>
      </c>
      <c r="B157" s="6" t="s">
        <v>226</v>
      </c>
      <c r="C157" s="29">
        <v>4663472</v>
      </c>
      <c r="D157" s="7">
        <v>0.012</v>
      </c>
      <c r="E157" s="7">
        <v>0.025</v>
      </c>
      <c r="F157" s="7">
        <v>0.044</v>
      </c>
      <c r="G157" s="7">
        <v>0.467</v>
      </c>
      <c r="H157" s="7">
        <v>0.166</v>
      </c>
      <c r="I157" s="7">
        <v>0.12402722502471542</v>
      </c>
      <c r="J157" s="7">
        <v>0.09103283825087938</v>
      </c>
      <c r="K157" s="7">
        <v>0.0581381448546594</v>
      </c>
      <c r="L157" s="42">
        <v>0.06054025482055736</v>
      </c>
      <c r="M157" s="7">
        <v>0.051</v>
      </c>
      <c r="N157" s="7">
        <v>0.039</v>
      </c>
      <c r="O157" s="7">
        <v>0.043</v>
      </c>
    </row>
    <row r="158" spans="1:15" ht="12.75">
      <c r="A158" s="1" t="s">
        <v>254</v>
      </c>
      <c r="B158" s="6" t="s">
        <v>255</v>
      </c>
      <c r="C158" s="29">
        <v>809752</v>
      </c>
      <c r="D158" s="7">
        <v>0.853</v>
      </c>
      <c r="E158" s="7">
        <v>0.896</v>
      </c>
      <c r="F158" s="7">
        <v>0.603</v>
      </c>
      <c r="G158" s="7">
        <v>1.041</v>
      </c>
      <c r="H158" s="7">
        <v>-0.023</v>
      </c>
      <c r="I158" s="7">
        <v>-0.092</v>
      </c>
      <c r="J158" s="7">
        <v>-0.128</v>
      </c>
      <c r="K158" s="7">
        <v>-0.14</v>
      </c>
      <c r="L158" s="42">
        <v>-0.146</v>
      </c>
      <c r="M158" s="7">
        <v>-0.1687</v>
      </c>
      <c r="N158" s="7">
        <v>-0.1384</v>
      </c>
      <c r="O158" s="7">
        <v>-0.0198</v>
      </c>
    </row>
    <row r="159" spans="1:15" ht="12.75">
      <c r="A159" s="1" t="s">
        <v>254</v>
      </c>
      <c r="B159" s="6" t="s">
        <v>282</v>
      </c>
      <c r="C159" s="29">
        <v>1373859</v>
      </c>
      <c r="D159" s="18">
        <v>-0.125</v>
      </c>
      <c r="E159" s="18">
        <v>-0.157</v>
      </c>
      <c r="F159" s="18">
        <v>-0.1954</v>
      </c>
      <c r="G159" s="18">
        <v>0.1677</v>
      </c>
      <c r="H159" s="18">
        <v>0.31</v>
      </c>
      <c r="I159" s="18">
        <v>0.245</v>
      </c>
      <c r="J159" s="18">
        <v>0.262</v>
      </c>
      <c r="K159" s="18">
        <v>0.282</v>
      </c>
      <c r="L159" s="45">
        <v>0.384</v>
      </c>
      <c r="M159" s="7">
        <v>0.537</v>
      </c>
      <c r="N159" s="7">
        <v>0.526</v>
      </c>
      <c r="O159" s="7">
        <v>0.663</v>
      </c>
    </row>
    <row r="160" spans="1:15" ht="12.75">
      <c r="A160" s="1" t="s">
        <v>236</v>
      </c>
      <c r="B160" s="6" t="s">
        <v>236</v>
      </c>
      <c r="C160" s="29">
        <v>1630027</v>
      </c>
      <c r="D160" s="7">
        <v>0.117</v>
      </c>
      <c r="E160" s="7">
        <v>0.023</v>
      </c>
      <c r="F160" s="7">
        <v>0.068</v>
      </c>
      <c r="G160" s="7">
        <v>0.374</v>
      </c>
      <c r="H160" s="7">
        <v>0.104</v>
      </c>
      <c r="I160" s="7">
        <v>0.108</v>
      </c>
      <c r="J160" s="7">
        <v>0.096</v>
      </c>
      <c r="K160" s="7">
        <v>0.068</v>
      </c>
      <c r="L160" s="42">
        <v>0.099</v>
      </c>
      <c r="M160" s="7">
        <v>0.044</v>
      </c>
      <c r="N160" s="7">
        <v>0.003</v>
      </c>
      <c r="O160" s="7">
        <v>0.126</v>
      </c>
    </row>
    <row r="161" spans="1:15" ht="12.75">
      <c r="A161" s="36" t="s">
        <v>326</v>
      </c>
      <c r="B161" s="36" t="s">
        <v>395</v>
      </c>
      <c r="C161" s="29">
        <v>685130.0448430494</v>
      </c>
      <c r="D161" s="7">
        <v>0.003</v>
      </c>
      <c r="E161" s="7">
        <v>0.108</v>
      </c>
      <c r="F161" s="7">
        <v>0.019</v>
      </c>
      <c r="G161" s="7">
        <v>0.231</v>
      </c>
      <c r="H161" s="7">
        <v>0.052</v>
      </c>
      <c r="I161" s="7">
        <v>0.097</v>
      </c>
      <c r="J161" s="7">
        <v>0.081</v>
      </c>
      <c r="K161" s="7">
        <v>0.054</v>
      </c>
      <c r="L161" s="7">
        <v>0.189</v>
      </c>
      <c r="M161" s="7">
        <v>0.196</v>
      </c>
      <c r="N161" s="7">
        <v>0.172</v>
      </c>
      <c r="O161" s="7">
        <v>0.218</v>
      </c>
    </row>
    <row r="162" spans="1:15" ht="12.75">
      <c r="A162" s="1" t="s">
        <v>223</v>
      </c>
      <c r="B162" s="6" t="s">
        <v>223</v>
      </c>
      <c r="C162" s="29">
        <v>3293524</v>
      </c>
      <c r="D162" s="7">
        <v>0.149</v>
      </c>
      <c r="E162" s="7">
        <v>0.178</v>
      </c>
      <c r="F162" s="7">
        <v>0.164</v>
      </c>
      <c r="G162" s="7">
        <v>0.253</v>
      </c>
      <c r="H162" s="7">
        <v>0.058</v>
      </c>
      <c r="I162" s="7">
        <v>0.044</v>
      </c>
      <c r="J162" s="7">
        <v>0.034</v>
      </c>
      <c r="K162" s="7">
        <v>-0.001</v>
      </c>
      <c r="L162" s="42">
        <v>0.024</v>
      </c>
      <c r="M162" s="7">
        <v>0.044</v>
      </c>
      <c r="N162" s="7">
        <f>204503/202718-1</f>
        <v>0.008805335490681632</v>
      </c>
      <c r="O162" s="7">
        <f>173528/174630-1</f>
        <v>-0.006310485025482482</v>
      </c>
    </row>
    <row r="163" spans="1:15" ht="12.75">
      <c r="A163" s="1" t="s">
        <v>337</v>
      </c>
      <c r="B163" s="6" t="s">
        <v>349</v>
      </c>
      <c r="C163" s="29">
        <v>937037</v>
      </c>
      <c r="D163" s="7">
        <v>0.208</v>
      </c>
      <c r="E163" s="7">
        <v>0.137</v>
      </c>
      <c r="F163" s="7">
        <v>0.097</v>
      </c>
      <c r="G163" s="7">
        <v>0.191</v>
      </c>
      <c r="H163" s="7">
        <v>0.153</v>
      </c>
      <c r="I163" s="7"/>
      <c r="J163" s="7">
        <v>0.121</v>
      </c>
      <c r="K163" s="7">
        <v>0.065</v>
      </c>
      <c r="L163" s="42">
        <v>0.101</v>
      </c>
      <c r="M163" s="7">
        <v>0.065</v>
      </c>
      <c r="N163" s="7">
        <v>0.1</v>
      </c>
      <c r="O163" s="7">
        <v>0.069</v>
      </c>
    </row>
    <row r="164" spans="1:15" ht="12.75">
      <c r="A164" s="1" t="s">
        <v>339</v>
      </c>
      <c r="B164" s="6" t="s">
        <v>362</v>
      </c>
      <c r="C164" s="29">
        <v>601542</v>
      </c>
      <c r="D164" s="7">
        <v>0.159</v>
      </c>
      <c r="E164" s="7">
        <v>-0.023</v>
      </c>
      <c r="F164" s="7">
        <v>-0.112</v>
      </c>
      <c r="G164" s="7">
        <v>0.065</v>
      </c>
      <c r="H164" s="7">
        <v>-0.091</v>
      </c>
      <c r="I164" s="7">
        <v>0.111</v>
      </c>
      <c r="J164" s="7">
        <v>-0.053</v>
      </c>
      <c r="K164" s="7">
        <v>-0.149</v>
      </c>
      <c r="L164" s="42">
        <v>-0.055</v>
      </c>
      <c r="M164" s="7">
        <v>-0.102</v>
      </c>
      <c r="N164" s="7">
        <v>-0.146</v>
      </c>
      <c r="O164" s="7">
        <v>-0.213</v>
      </c>
    </row>
    <row r="165" spans="1:15" ht="12.75">
      <c r="A165" s="1" t="s">
        <v>339</v>
      </c>
      <c r="B165" s="6" t="s">
        <v>363</v>
      </c>
      <c r="C165" s="29">
        <v>541836</v>
      </c>
      <c r="D165" s="7">
        <v>-0.038</v>
      </c>
      <c r="E165" s="7">
        <v>0.105</v>
      </c>
      <c r="F165" s="7">
        <v>0.161</v>
      </c>
      <c r="G165" s="7">
        <v>0.38</v>
      </c>
      <c r="H165" s="7">
        <v>0.166</v>
      </c>
      <c r="I165" s="7">
        <v>0.168</v>
      </c>
      <c r="J165" s="7">
        <v>0.166</v>
      </c>
      <c r="K165" s="7">
        <v>0.203</v>
      </c>
      <c r="L165" s="42">
        <v>0.239</v>
      </c>
      <c r="M165" s="7">
        <v>0.24</v>
      </c>
      <c r="N165" s="7">
        <v>0.234</v>
      </c>
      <c r="O165" s="7">
        <v>0.345</v>
      </c>
    </row>
    <row r="166" spans="1:15" ht="12.75">
      <c r="A166" s="1" t="s">
        <v>263</v>
      </c>
      <c r="B166" s="6" t="s">
        <v>266</v>
      </c>
      <c r="C166" s="29">
        <v>1624194</v>
      </c>
      <c r="D166" s="7">
        <v>0.152</v>
      </c>
      <c r="E166" s="7">
        <v>0.1082</v>
      </c>
      <c r="F166" s="7">
        <v>-0.006</v>
      </c>
      <c r="G166" s="7">
        <v>0.0953</v>
      </c>
      <c r="H166" s="7">
        <v>-0.10988644449715368</v>
      </c>
      <c r="I166" s="7">
        <v>-0.148</v>
      </c>
      <c r="J166" s="7">
        <v>-0.131</v>
      </c>
      <c r="K166" s="7">
        <v>-0.043</v>
      </c>
      <c r="L166" s="42">
        <v>-0.131</v>
      </c>
      <c r="M166" s="7">
        <v>-0.066</v>
      </c>
      <c r="N166" s="7">
        <v>-0.164</v>
      </c>
      <c r="O166" s="7">
        <v>-0.158</v>
      </c>
    </row>
    <row r="167" spans="1:15" ht="12.75">
      <c r="A167" s="1" t="s">
        <v>263</v>
      </c>
      <c r="B167" s="6" t="s">
        <v>66</v>
      </c>
      <c r="C167" s="29">
        <v>15411749</v>
      </c>
      <c r="D167" s="7">
        <v>0.153</v>
      </c>
      <c r="E167" s="7">
        <v>0.113</v>
      </c>
      <c r="F167" s="7">
        <v>0.027</v>
      </c>
      <c r="G167" s="7">
        <v>0.124</v>
      </c>
      <c r="H167" s="7">
        <v>-0.006308414564791032</v>
      </c>
      <c r="I167" s="7">
        <v>0.012</v>
      </c>
      <c r="J167" s="7">
        <v>0.062</v>
      </c>
      <c r="K167" s="7">
        <v>-0.0689</v>
      </c>
      <c r="L167" s="42">
        <v>-0.023</v>
      </c>
      <c r="M167" s="7">
        <v>-0.015</v>
      </c>
      <c r="N167" s="7">
        <v>-0.082</v>
      </c>
      <c r="O167" s="7">
        <v>-0.067</v>
      </c>
    </row>
    <row r="168" spans="1:15" ht="12.75">
      <c r="A168" s="1" t="s">
        <v>263</v>
      </c>
      <c r="B168" s="6" t="s">
        <v>264</v>
      </c>
      <c r="C168" s="29">
        <v>7244158</v>
      </c>
      <c r="D168" s="7">
        <v>0.114</v>
      </c>
      <c r="E168" s="7">
        <v>0.0749</v>
      </c>
      <c r="F168" s="7">
        <v>0.005</v>
      </c>
      <c r="G168" s="7">
        <v>0.05</v>
      </c>
      <c r="H168" s="7">
        <v>-0.014812713636331187</v>
      </c>
      <c r="I168" s="7">
        <v>0.004</v>
      </c>
      <c r="J168" s="7">
        <v>0.056</v>
      </c>
      <c r="K168" s="7">
        <v>-0.1094</v>
      </c>
      <c r="L168" s="42">
        <v>0.032</v>
      </c>
      <c r="M168" s="7">
        <v>-0.028</v>
      </c>
      <c r="N168" s="7">
        <v>-0.028</v>
      </c>
      <c r="O168" s="7">
        <v>-0.04</v>
      </c>
    </row>
    <row r="169" spans="1:15" ht="12.75">
      <c r="A169" s="1" t="s">
        <v>263</v>
      </c>
      <c r="B169" s="6" t="s">
        <v>267</v>
      </c>
      <c r="C169" s="29">
        <v>740217</v>
      </c>
      <c r="D169" s="7">
        <v>0.414</v>
      </c>
      <c r="E169" s="7">
        <v>0.3625</v>
      </c>
      <c r="F169" s="7">
        <v>0.26</v>
      </c>
      <c r="G169" s="7">
        <v>0.359</v>
      </c>
      <c r="H169" s="7">
        <v>0.09596230400519934</v>
      </c>
      <c r="I169" s="7">
        <v>0.062</v>
      </c>
      <c r="J169" s="7">
        <v>0.106</v>
      </c>
      <c r="K169" s="7">
        <v>0.0225</v>
      </c>
      <c r="L169" s="42">
        <v>0.022</v>
      </c>
      <c r="M169" s="7">
        <v>0.107</v>
      </c>
      <c r="N169" s="7">
        <v>-0.311</v>
      </c>
      <c r="O169" s="7">
        <v>-0.311</v>
      </c>
    </row>
    <row r="170" spans="1:15" ht="12.75">
      <c r="A170" s="1" t="s">
        <v>263</v>
      </c>
      <c r="B170" s="6" t="s">
        <v>265</v>
      </c>
      <c r="C170" s="29">
        <v>3438397</v>
      </c>
      <c r="D170" s="7">
        <v>0.182</v>
      </c>
      <c r="E170" s="7">
        <v>0.1213</v>
      </c>
      <c r="F170" s="7">
        <v>0</v>
      </c>
      <c r="G170" s="7">
        <v>0.139</v>
      </c>
      <c r="H170" s="7">
        <v>-0.12408428881313915</v>
      </c>
      <c r="I170" s="7">
        <v>-0.043</v>
      </c>
      <c r="J170" s="7">
        <v>0.057</v>
      </c>
      <c r="K170" s="7">
        <v>-0.1537</v>
      </c>
      <c r="L170" s="42">
        <v>-0.034</v>
      </c>
      <c r="M170" s="7">
        <v>-0.069</v>
      </c>
      <c r="N170" s="7">
        <v>-0.113</v>
      </c>
      <c r="O170" s="7">
        <v>-0.035</v>
      </c>
    </row>
    <row r="171" spans="1:15" ht="12.75">
      <c r="A171" s="1" t="s">
        <v>263</v>
      </c>
      <c r="B171" s="6" t="s">
        <v>330</v>
      </c>
      <c r="C171" s="29">
        <v>442261</v>
      </c>
      <c r="D171" s="7">
        <v>0.426</v>
      </c>
      <c r="E171" s="7">
        <v>0.334</v>
      </c>
      <c r="F171" s="7">
        <v>0.292</v>
      </c>
      <c r="G171" s="7">
        <v>0.612</v>
      </c>
      <c r="H171" s="7">
        <v>0.4200080502833081</v>
      </c>
      <c r="I171" s="7">
        <v>0.33</v>
      </c>
      <c r="J171" s="7">
        <v>0.27</v>
      </c>
      <c r="K171" s="7">
        <v>0.0376</v>
      </c>
      <c r="L171" s="42">
        <v>0.196</v>
      </c>
      <c r="M171" s="7">
        <v>0.213</v>
      </c>
      <c r="N171" s="7">
        <v>0.069</v>
      </c>
      <c r="O171" s="7">
        <v>0.074</v>
      </c>
    </row>
    <row r="172" spans="1:15" ht="12.75">
      <c r="A172" s="1" t="s">
        <v>263</v>
      </c>
      <c r="B172" s="6" t="s">
        <v>269</v>
      </c>
      <c r="C172" s="29">
        <v>460412</v>
      </c>
      <c r="D172" s="7">
        <v>0.167</v>
      </c>
      <c r="E172" s="7">
        <v>0.2209</v>
      </c>
      <c r="F172" s="7">
        <v>0.205</v>
      </c>
      <c r="G172" s="7">
        <v>0.285</v>
      </c>
      <c r="H172" s="7">
        <v>0.27825888042874425</v>
      </c>
      <c r="I172" s="7">
        <v>0.254</v>
      </c>
      <c r="J172" s="7">
        <v>0.16</v>
      </c>
      <c r="K172" s="7">
        <v>-0.0088</v>
      </c>
      <c r="L172" s="42">
        <v>0.167</v>
      </c>
      <c r="M172" s="7">
        <v>0.136</v>
      </c>
      <c r="N172" s="7">
        <v>-0.192</v>
      </c>
      <c r="O172" s="7">
        <v>-0.288</v>
      </c>
    </row>
    <row r="173" spans="1:15" ht="12.75">
      <c r="A173" s="1" t="s">
        <v>263</v>
      </c>
      <c r="B173" s="6" t="s">
        <v>270</v>
      </c>
      <c r="C173" s="29">
        <v>361915</v>
      </c>
      <c r="D173" s="7">
        <v>0.118</v>
      </c>
      <c r="E173" s="7">
        <v>0.148</v>
      </c>
      <c r="F173" s="7">
        <v>-0.046</v>
      </c>
      <c r="G173" s="7">
        <v>0.262</v>
      </c>
      <c r="H173" s="7">
        <v>0.02814385385419116</v>
      </c>
      <c r="I173" s="7">
        <v>0.045</v>
      </c>
      <c r="J173" s="7">
        <v>0.072</v>
      </c>
      <c r="K173" s="7">
        <v>-0.145</v>
      </c>
      <c r="L173" s="42">
        <v>-0.047</v>
      </c>
      <c r="M173" s="7">
        <v>0.112</v>
      </c>
      <c r="N173" s="7">
        <v>-0.049</v>
      </c>
      <c r="O173" s="7">
        <v>-0.089</v>
      </c>
    </row>
    <row r="174" spans="1:15" ht="12.75">
      <c r="A174" s="1" t="s">
        <v>263</v>
      </c>
      <c r="B174" s="6" t="s">
        <v>268</v>
      </c>
      <c r="C174" s="29">
        <v>762247</v>
      </c>
      <c r="D174" s="7">
        <v>0.103</v>
      </c>
      <c r="E174" s="7">
        <v>0.0694</v>
      </c>
      <c r="F174" s="7">
        <v>0.065</v>
      </c>
      <c r="G174" s="7">
        <v>0.269</v>
      </c>
      <c r="H174" s="7">
        <v>0.22095898074459064</v>
      </c>
      <c r="I174" s="7">
        <v>0.169</v>
      </c>
      <c r="J174" s="7">
        <v>0.159</v>
      </c>
      <c r="K174" s="7">
        <v>-0.123</v>
      </c>
      <c r="L174" s="42">
        <v>0.14</v>
      </c>
      <c r="M174" s="7">
        <v>0.104</v>
      </c>
      <c r="N174" s="7">
        <v>-0.014</v>
      </c>
      <c r="O174" s="7">
        <v>0.043</v>
      </c>
    </row>
    <row r="175" spans="1:15" ht="12.75">
      <c r="A175" s="1" t="s">
        <v>150</v>
      </c>
      <c r="B175" s="6" t="s">
        <v>151</v>
      </c>
      <c r="C175" s="29">
        <v>45211749</v>
      </c>
      <c r="D175" s="7">
        <v>0.108</v>
      </c>
      <c r="E175" s="7">
        <v>0.066</v>
      </c>
      <c r="F175" s="7">
        <v>0.055</v>
      </c>
      <c r="G175" s="7">
        <v>0.372</v>
      </c>
      <c r="H175" s="7">
        <v>0.093</v>
      </c>
      <c r="I175" s="7">
        <v>0.099</v>
      </c>
      <c r="J175" s="7">
        <v>0.089</v>
      </c>
      <c r="K175" s="7">
        <v>0.089</v>
      </c>
      <c r="L175" s="42">
        <v>0.102</v>
      </c>
      <c r="M175" s="7">
        <v>0.068</v>
      </c>
      <c r="N175" s="7">
        <v>0.021</v>
      </c>
      <c r="O175" s="7">
        <v>0.092</v>
      </c>
    </row>
    <row r="176" spans="1:15" ht="12.75">
      <c r="A176" s="1" t="s">
        <v>150</v>
      </c>
      <c r="B176" s="6" t="s">
        <v>279</v>
      </c>
      <c r="C176" s="29">
        <v>2142833</v>
      </c>
      <c r="D176" s="7">
        <v>0.28024751230376843</v>
      </c>
      <c r="E176" s="7">
        <v>0.08985578297994046</v>
      </c>
      <c r="F176" s="7">
        <v>0.14242612476706018</v>
      </c>
      <c r="G176" s="7">
        <v>0.6698905872770102</v>
      </c>
      <c r="H176" s="7">
        <v>0.3051306290821587</v>
      </c>
      <c r="I176" s="7">
        <v>0.28105843684465226</v>
      </c>
      <c r="J176" s="7">
        <v>0.2726742733405514</v>
      </c>
      <c r="K176" s="7">
        <v>0.16514762108736702</v>
      </c>
      <c r="L176" s="42">
        <v>0.20961370910584742</v>
      </c>
      <c r="M176" s="7">
        <v>0.1864097997362446</v>
      </c>
      <c r="N176" s="7">
        <v>0.069</v>
      </c>
      <c r="O176" s="7">
        <v>0.171</v>
      </c>
    </row>
    <row r="177" spans="1:15" ht="12.75">
      <c r="A177" s="1" t="s">
        <v>150</v>
      </c>
      <c r="B177" s="6" t="s">
        <v>280</v>
      </c>
      <c r="C177" s="29">
        <v>257307</v>
      </c>
      <c r="D177" s="7">
        <v>0.3696755343687528</v>
      </c>
      <c r="E177" s="7">
        <v>0.34459556191839646</v>
      </c>
      <c r="F177" s="7">
        <v>0.7924705000936505</v>
      </c>
      <c r="G177" s="7">
        <v>1.821693682775337</v>
      </c>
      <c r="H177" s="7">
        <v>0.5942738950576965</v>
      </c>
      <c r="I177" s="7">
        <v>0.47716114177360924</v>
      </c>
      <c r="J177" s="7">
        <v>0.23888308977035488</v>
      </c>
      <c r="K177" s="7">
        <v>0.29534737107552633</v>
      </c>
      <c r="L177" s="42">
        <v>0.28364906699991477</v>
      </c>
      <c r="M177" s="7">
        <v>0.3175810592374251</v>
      </c>
      <c r="N177" s="7">
        <v>-0.2</v>
      </c>
      <c r="O177" s="7">
        <v>-0.25</v>
      </c>
    </row>
    <row r="178" spans="1:15" ht="12.75">
      <c r="A178" s="15" t="s">
        <v>150</v>
      </c>
      <c r="B178" s="16" t="s">
        <v>253</v>
      </c>
      <c r="C178" s="29">
        <v>1000858</v>
      </c>
      <c r="D178" s="7">
        <v>-0.108</v>
      </c>
      <c r="E178" s="7">
        <v>-0.049</v>
      </c>
      <c r="F178" s="7">
        <v>-0.008</v>
      </c>
      <c r="G178" s="7">
        <v>0.338</v>
      </c>
      <c r="H178" s="7">
        <v>0.192</v>
      </c>
      <c r="I178" s="7">
        <v>0.232</v>
      </c>
      <c r="J178" s="7">
        <v>0.235</v>
      </c>
      <c r="K178" s="7">
        <v>0.196</v>
      </c>
      <c r="L178" s="42">
        <v>0.173</v>
      </c>
      <c r="M178" s="7">
        <v>0.169</v>
      </c>
      <c r="N178" s="7">
        <v>0.123</v>
      </c>
      <c r="O178" s="7">
        <v>0.347</v>
      </c>
    </row>
    <row r="179" spans="1:15" ht="12.75">
      <c r="A179" s="1" t="s">
        <v>167</v>
      </c>
      <c r="B179" s="6" t="s">
        <v>202</v>
      </c>
      <c r="C179" s="29">
        <v>833534</v>
      </c>
      <c r="D179" s="7">
        <v>0.075</v>
      </c>
      <c r="E179" s="7">
        <v>0.048</v>
      </c>
      <c r="F179" s="7">
        <v>0.097</v>
      </c>
      <c r="G179" s="7">
        <v>0.43</v>
      </c>
      <c r="H179" s="7">
        <v>0.163</v>
      </c>
      <c r="I179" s="7">
        <v>0.013</v>
      </c>
      <c r="J179" s="7">
        <v>-0.001</v>
      </c>
      <c r="K179" s="7">
        <v>0.068</v>
      </c>
      <c r="L179" s="42">
        <v>0.112</v>
      </c>
      <c r="M179" s="7">
        <v>0.086</v>
      </c>
      <c r="N179" s="7">
        <v>0.187</v>
      </c>
      <c r="O179" s="7">
        <v>0.209</v>
      </c>
    </row>
    <row r="180" spans="1:15" ht="12.75">
      <c r="A180" s="1" t="s">
        <v>167</v>
      </c>
      <c r="B180" s="6" t="s">
        <v>66</v>
      </c>
      <c r="C180" s="29">
        <v>43951106</v>
      </c>
      <c r="D180" s="7">
        <v>0.078</v>
      </c>
      <c r="E180" s="7">
        <v>0.052</v>
      </c>
      <c r="F180" s="7">
        <v>0.079</v>
      </c>
      <c r="G180" s="7">
        <v>0.438</v>
      </c>
      <c r="H180" s="7">
        <v>0.128</v>
      </c>
      <c r="I180" s="7">
        <v>0.081</v>
      </c>
      <c r="J180" s="7">
        <v>0.07</v>
      </c>
      <c r="K180" s="7">
        <v>0.044</v>
      </c>
      <c r="L180" s="42">
        <v>0.065</v>
      </c>
      <c r="M180" s="7">
        <v>0.066</v>
      </c>
      <c r="N180" s="7">
        <v>0.081</v>
      </c>
      <c r="O180" s="7">
        <v>0.074</v>
      </c>
    </row>
    <row r="181" spans="1:15" ht="12.75">
      <c r="A181" s="1" t="s">
        <v>167</v>
      </c>
      <c r="B181" s="6" t="s">
        <v>207</v>
      </c>
      <c r="C181" s="29">
        <v>333593</v>
      </c>
      <c r="D181" s="7">
        <v>0.162</v>
      </c>
      <c r="E181" s="7">
        <v>-0.014</v>
      </c>
      <c r="F181" s="7">
        <v>0.012</v>
      </c>
      <c r="G181" s="7">
        <v>0.363</v>
      </c>
      <c r="H181" s="7">
        <v>0.098</v>
      </c>
      <c r="I181" s="7">
        <v>0.011</v>
      </c>
      <c r="J181" s="7">
        <v>-0.02</v>
      </c>
      <c r="K181" s="7">
        <v>-0.03</v>
      </c>
      <c r="L181" s="42">
        <v>0.023</v>
      </c>
      <c r="M181" s="7">
        <v>-0.038</v>
      </c>
      <c r="N181" s="7">
        <v>0.027</v>
      </c>
      <c r="O181" s="7">
        <v>-0.038</v>
      </c>
    </row>
    <row r="182" spans="1:15" ht="12.75">
      <c r="A182" s="1" t="s">
        <v>167</v>
      </c>
      <c r="B182" s="6" t="s">
        <v>206</v>
      </c>
      <c r="C182" s="29">
        <v>190584</v>
      </c>
      <c r="D182" s="7">
        <v>0.122</v>
      </c>
      <c r="E182" s="7">
        <v>0.113</v>
      </c>
      <c r="F182" s="7">
        <v>0.127</v>
      </c>
      <c r="G182" s="7">
        <v>0.378</v>
      </c>
      <c r="H182" s="7">
        <v>0.072</v>
      </c>
      <c r="I182" s="7">
        <v>-0.198</v>
      </c>
      <c r="J182" s="7">
        <v>0.028</v>
      </c>
      <c r="K182" s="7">
        <v>-0.106</v>
      </c>
      <c r="L182" s="42">
        <v>0.155</v>
      </c>
      <c r="M182" s="7">
        <v>0.023</v>
      </c>
      <c r="N182" s="7">
        <v>-0.071</v>
      </c>
      <c r="O182" s="7">
        <v>-0.166</v>
      </c>
    </row>
    <row r="183" spans="1:15" ht="12.75">
      <c r="A183" s="1" t="s">
        <v>167</v>
      </c>
      <c r="B183" s="6" t="s">
        <v>192</v>
      </c>
      <c r="C183" s="29">
        <v>5078267</v>
      </c>
      <c r="D183" s="7">
        <v>0.076</v>
      </c>
      <c r="E183" s="7">
        <v>0.033</v>
      </c>
      <c r="F183" s="7">
        <v>0.096</v>
      </c>
      <c r="G183" s="7">
        <v>0.429</v>
      </c>
      <c r="H183" s="7">
        <v>0.162</v>
      </c>
      <c r="I183" s="7">
        <v>0.096</v>
      </c>
      <c r="J183" s="7">
        <v>0.091</v>
      </c>
      <c r="K183" s="7">
        <v>0.053</v>
      </c>
      <c r="L183" s="42">
        <v>0.033</v>
      </c>
      <c r="M183" s="7">
        <v>0.074</v>
      </c>
      <c r="N183" s="7">
        <v>0.115</v>
      </c>
      <c r="O183" s="7">
        <v>0.089</v>
      </c>
    </row>
    <row r="184" spans="1:15" ht="12.75">
      <c r="A184" s="1" t="s">
        <v>167</v>
      </c>
      <c r="B184" s="6" t="s">
        <v>198</v>
      </c>
      <c r="C184" s="29">
        <v>1611689</v>
      </c>
      <c r="D184" s="7">
        <v>0.014</v>
      </c>
      <c r="E184" s="7">
        <v>-0.028</v>
      </c>
      <c r="F184" s="7">
        <v>0.046</v>
      </c>
      <c r="G184" s="7">
        <v>0.362</v>
      </c>
      <c r="H184" s="7">
        <v>0.141</v>
      </c>
      <c r="I184" s="7">
        <v>0.055</v>
      </c>
      <c r="J184" s="7">
        <v>0.028</v>
      </c>
      <c r="K184" s="7">
        <v>0.029</v>
      </c>
      <c r="L184" s="42">
        <v>0.086</v>
      </c>
      <c r="M184" s="7">
        <v>0.054</v>
      </c>
      <c r="N184" s="7">
        <v>0.121</v>
      </c>
      <c r="O184" s="7">
        <v>0.099</v>
      </c>
    </row>
    <row r="185" spans="1:15" ht="12.75">
      <c r="A185" s="1" t="s">
        <v>167</v>
      </c>
      <c r="B185" s="6" t="s">
        <v>205</v>
      </c>
      <c r="C185" s="29">
        <v>551106</v>
      </c>
      <c r="D185" s="7">
        <v>0.143</v>
      </c>
      <c r="E185" s="7">
        <v>0.021</v>
      </c>
      <c r="F185" s="7">
        <v>0.065</v>
      </c>
      <c r="G185" s="7">
        <v>0.535</v>
      </c>
      <c r="H185" s="7">
        <v>0.122</v>
      </c>
      <c r="I185" s="7">
        <v>0.178</v>
      </c>
      <c r="J185" s="7">
        <v>-0.027</v>
      </c>
      <c r="K185" s="7">
        <v>0.03</v>
      </c>
      <c r="L185" s="42">
        <v>0.042</v>
      </c>
      <c r="M185" s="7">
        <v>0.084</v>
      </c>
      <c r="N185" s="7">
        <v>0.008</v>
      </c>
      <c r="O185" s="7">
        <v>0.011</v>
      </c>
    </row>
    <row r="186" spans="1:15" ht="12.75">
      <c r="A186" s="1" t="s">
        <v>167</v>
      </c>
      <c r="B186" s="6" t="s">
        <v>201</v>
      </c>
      <c r="C186" s="29">
        <v>558938</v>
      </c>
      <c r="D186" s="7">
        <v>-0.008</v>
      </c>
      <c r="E186" s="7">
        <v>0.013</v>
      </c>
      <c r="F186" s="7">
        <v>0.077</v>
      </c>
      <c r="G186" s="7">
        <v>0.491</v>
      </c>
      <c r="H186" s="7">
        <v>0.119</v>
      </c>
      <c r="I186" s="7">
        <v>0.177</v>
      </c>
      <c r="J186" s="7">
        <v>0.029</v>
      </c>
      <c r="K186" s="7">
        <v>0.036</v>
      </c>
      <c r="L186" s="42">
        <v>0.045</v>
      </c>
      <c r="M186" s="7">
        <v>0.065</v>
      </c>
      <c r="N186" s="7">
        <v>0.032</v>
      </c>
      <c r="O186" s="7">
        <v>0.024</v>
      </c>
    </row>
    <row r="187" spans="1:15" ht="12.75">
      <c r="A187" s="1" t="s">
        <v>167</v>
      </c>
      <c r="B187" s="6" t="s">
        <v>208</v>
      </c>
      <c r="C187" s="29">
        <v>278307</v>
      </c>
      <c r="D187" s="7">
        <v>0.204</v>
      </c>
      <c r="E187" s="7">
        <v>0.037</v>
      </c>
      <c r="F187" s="7">
        <v>0.049</v>
      </c>
      <c r="G187" s="7">
        <v>0.449</v>
      </c>
      <c r="H187" s="7">
        <v>0.136</v>
      </c>
      <c r="I187" s="7">
        <v>0.028</v>
      </c>
      <c r="J187" s="7">
        <v>0.033</v>
      </c>
      <c r="K187" s="7">
        <v>-0.066</v>
      </c>
      <c r="L187" s="42">
        <v>0.026</v>
      </c>
      <c r="M187" s="7">
        <v>0.066</v>
      </c>
      <c r="N187" s="7">
        <v>-0.034</v>
      </c>
      <c r="O187" s="7">
        <v>0.137</v>
      </c>
    </row>
    <row r="188" spans="1:15" ht="12.75">
      <c r="A188" s="1" t="s">
        <v>167</v>
      </c>
      <c r="B188" s="6" t="s">
        <v>200</v>
      </c>
      <c r="C188" s="29">
        <v>839916</v>
      </c>
      <c r="D188" s="7">
        <v>0.107</v>
      </c>
      <c r="E188" s="7">
        <v>0.047</v>
      </c>
      <c r="F188" s="7">
        <v>0.057</v>
      </c>
      <c r="G188" s="7">
        <v>0.471</v>
      </c>
      <c r="H188" s="7">
        <v>0.172</v>
      </c>
      <c r="I188" s="7">
        <v>0.301</v>
      </c>
      <c r="J188" s="7">
        <v>0.09</v>
      </c>
      <c r="K188" s="7">
        <v>0.022</v>
      </c>
      <c r="L188" s="42">
        <v>0.088</v>
      </c>
      <c r="M188" s="7">
        <v>0.118</v>
      </c>
      <c r="N188" s="7">
        <v>0.143</v>
      </c>
      <c r="O188" s="7">
        <v>0.117</v>
      </c>
    </row>
    <row r="189" spans="1:15" ht="12.75">
      <c r="A189" s="1" t="s">
        <v>167</v>
      </c>
      <c r="B189" s="6" t="s">
        <v>204</v>
      </c>
      <c r="C189" s="29">
        <v>347550</v>
      </c>
      <c r="D189" s="7">
        <v>0.021</v>
      </c>
      <c r="E189" s="7">
        <v>0.012</v>
      </c>
      <c r="F189" s="7">
        <v>0.07</v>
      </c>
      <c r="G189" s="7">
        <v>0.246</v>
      </c>
      <c r="H189" s="7">
        <v>0.029</v>
      </c>
      <c r="I189" s="7">
        <v>0.014</v>
      </c>
      <c r="J189" s="7">
        <v>-0.023</v>
      </c>
      <c r="K189" s="7">
        <v>-0.035</v>
      </c>
      <c r="L189" s="42">
        <v>-0.015</v>
      </c>
      <c r="M189" s="7">
        <v>0.06</v>
      </c>
      <c r="N189" s="7">
        <v>0.087</v>
      </c>
      <c r="O189" s="7">
        <v>0.119</v>
      </c>
    </row>
    <row r="190" spans="1:15" ht="12.75">
      <c r="A190" s="1" t="s">
        <v>167</v>
      </c>
      <c r="B190" s="6" t="s">
        <v>203</v>
      </c>
      <c r="C190" s="29">
        <v>392901</v>
      </c>
      <c r="D190" s="7">
        <v>0.03</v>
      </c>
      <c r="E190" s="7">
        <v>0.03</v>
      </c>
      <c r="F190" s="7">
        <v>0.138</v>
      </c>
      <c r="G190" s="7">
        <v>0.394</v>
      </c>
      <c r="H190" s="7">
        <v>0.095</v>
      </c>
      <c r="I190" s="7">
        <v>0.446</v>
      </c>
      <c r="J190" s="7">
        <v>0.119</v>
      </c>
      <c r="K190" s="7">
        <v>0.036</v>
      </c>
      <c r="L190" s="42">
        <v>0.105</v>
      </c>
      <c r="M190" s="7">
        <v>0.003</v>
      </c>
      <c r="N190" s="7">
        <v>0.062</v>
      </c>
      <c r="O190" s="7">
        <v>0.052</v>
      </c>
    </row>
    <row r="191" spans="1:15" ht="12.75">
      <c r="A191" s="1" t="s">
        <v>167</v>
      </c>
      <c r="B191" s="6" t="s">
        <v>347</v>
      </c>
      <c r="C191" s="29">
        <v>1423809</v>
      </c>
      <c r="D191" s="7">
        <v>0.388</v>
      </c>
      <c r="E191" s="7">
        <v>0.535</v>
      </c>
      <c r="F191" s="7">
        <v>0.432</v>
      </c>
      <c r="G191" s="7">
        <v>0.662</v>
      </c>
      <c r="H191" s="7">
        <v>0.089</v>
      </c>
      <c r="I191" s="7">
        <v>0.18</v>
      </c>
      <c r="J191" s="7">
        <v>0.17</v>
      </c>
      <c r="K191" s="7">
        <v>0.058</v>
      </c>
      <c r="L191" s="42">
        <v>0.069</v>
      </c>
      <c r="M191" s="7">
        <v>0.093</v>
      </c>
      <c r="N191" s="7">
        <v>-0.102</v>
      </c>
      <c r="O191" s="7">
        <v>-0.017</v>
      </c>
    </row>
    <row r="192" spans="1:15" ht="12.75">
      <c r="A192" s="1" t="s">
        <v>167</v>
      </c>
      <c r="B192" s="6" t="s">
        <v>168</v>
      </c>
      <c r="C192" s="29">
        <v>19091036</v>
      </c>
      <c r="D192" s="7">
        <v>0.096</v>
      </c>
      <c r="E192" s="7">
        <v>0.079</v>
      </c>
      <c r="F192" s="7">
        <v>0.093</v>
      </c>
      <c r="G192" s="7">
        <v>0.474</v>
      </c>
      <c r="H192" s="7">
        <v>0.126</v>
      </c>
      <c r="I192" s="7">
        <v>0.079</v>
      </c>
      <c r="J192" s="7">
        <v>0.08</v>
      </c>
      <c r="K192" s="7">
        <v>0.05</v>
      </c>
      <c r="L192" s="42">
        <v>0.074</v>
      </c>
      <c r="M192" s="7">
        <v>0.077</v>
      </c>
      <c r="N192" s="7">
        <v>0.084</v>
      </c>
      <c r="O192" s="7">
        <v>0.068</v>
      </c>
    </row>
    <row r="193" spans="1:15" ht="12.75">
      <c r="A193" s="1" t="s">
        <v>167</v>
      </c>
      <c r="B193" s="6" t="s">
        <v>210</v>
      </c>
      <c r="C193" s="29">
        <v>1589066</v>
      </c>
      <c r="D193" s="7">
        <v>-0.234</v>
      </c>
      <c r="E193" s="7">
        <v>-0.258</v>
      </c>
      <c r="F193" s="7">
        <v>-0.268</v>
      </c>
      <c r="G193" s="7">
        <v>0.17</v>
      </c>
      <c r="H193" s="7">
        <v>-0.106</v>
      </c>
      <c r="I193" s="7">
        <v>-0.114</v>
      </c>
      <c r="J193" s="7">
        <v>-0.178</v>
      </c>
      <c r="K193" s="7">
        <v>-0.181</v>
      </c>
      <c r="L193" s="42">
        <v>-0.16</v>
      </c>
      <c r="M193" s="7">
        <v>-0.197</v>
      </c>
      <c r="N193" s="7">
        <v>-0.113</v>
      </c>
      <c r="O193" s="7">
        <v>-0.023</v>
      </c>
    </row>
    <row r="194" spans="1:15" ht="12.75">
      <c r="A194" s="1" t="s">
        <v>167</v>
      </c>
      <c r="B194" s="6" t="s">
        <v>193</v>
      </c>
      <c r="C194" s="29">
        <v>3674816</v>
      </c>
      <c r="D194" s="7">
        <v>0.082</v>
      </c>
      <c r="E194" s="7">
        <v>0.043</v>
      </c>
      <c r="F194" s="7">
        <v>0.11</v>
      </c>
      <c r="G194" s="7">
        <v>0.468</v>
      </c>
      <c r="H194" s="7">
        <v>0.14</v>
      </c>
      <c r="I194" s="7">
        <v>0.089</v>
      </c>
      <c r="J194" s="7">
        <v>0.137</v>
      </c>
      <c r="K194" s="7">
        <v>0.073</v>
      </c>
      <c r="L194" s="42">
        <v>0.109</v>
      </c>
      <c r="M194" s="7">
        <v>0.094</v>
      </c>
      <c r="N194" s="7">
        <v>0.115</v>
      </c>
      <c r="O194" s="7">
        <v>0.135</v>
      </c>
    </row>
    <row r="195" spans="1:15" ht="12.75">
      <c r="A195" s="1" t="s">
        <v>167</v>
      </c>
      <c r="B195" s="6" t="s">
        <v>209</v>
      </c>
      <c r="C195" s="29">
        <v>125781</v>
      </c>
      <c r="D195" s="7">
        <v>0.028</v>
      </c>
      <c r="E195" s="7">
        <v>0.041</v>
      </c>
      <c r="F195" s="7">
        <v>-0.076</v>
      </c>
      <c r="G195" s="7">
        <v>0.08</v>
      </c>
      <c r="H195" s="7">
        <v>0.143</v>
      </c>
      <c r="I195" s="7">
        <v>-0.101</v>
      </c>
      <c r="J195" s="7">
        <v>-0.03</v>
      </c>
      <c r="K195" s="7">
        <v>0.03</v>
      </c>
      <c r="L195" s="42">
        <v>0.066</v>
      </c>
      <c r="M195" s="7">
        <v>0.035</v>
      </c>
      <c r="N195" s="7">
        <v>0.048</v>
      </c>
      <c r="O195" s="7">
        <v>-0.189</v>
      </c>
    </row>
    <row r="196" spans="1:15" ht="12.75">
      <c r="A196" s="1" t="s">
        <v>167</v>
      </c>
      <c r="B196" s="6" t="s">
        <v>199</v>
      </c>
      <c r="C196" s="29">
        <v>1649584</v>
      </c>
      <c r="D196" s="7">
        <v>0.055</v>
      </c>
      <c r="E196" s="7">
        <v>0.04</v>
      </c>
      <c r="F196" s="7">
        <v>0.029</v>
      </c>
      <c r="G196" s="7">
        <v>0.364</v>
      </c>
      <c r="H196" s="7">
        <v>0.165</v>
      </c>
      <c r="I196" s="7">
        <v>0.078</v>
      </c>
      <c r="J196" s="7">
        <v>0.014</v>
      </c>
      <c r="K196" s="7">
        <v>0.073</v>
      </c>
      <c r="L196" s="42">
        <v>0.085</v>
      </c>
      <c r="M196" s="7">
        <v>0.053</v>
      </c>
      <c r="N196" s="7">
        <v>0.101</v>
      </c>
      <c r="O196" s="7">
        <v>0.122</v>
      </c>
    </row>
    <row r="197" spans="1:15" ht="12.75">
      <c r="A197" s="1" t="s">
        <v>167</v>
      </c>
      <c r="B197" s="6" t="s">
        <v>194</v>
      </c>
      <c r="C197" s="29">
        <v>3521734</v>
      </c>
      <c r="D197" s="7">
        <v>0.077</v>
      </c>
      <c r="E197" s="7">
        <v>0.054</v>
      </c>
      <c r="F197" s="7">
        <v>0.094</v>
      </c>
      <c r="G197" s="7">
        <v>0.412</v>
      </c>
      <c r="H197" s="7">
        <v>0.149</v>
      </c>
      <c r="I197" s="7">
        <v>0.093</v>
      </c>
      <c r="J197" s="7">
        <v>0.096</v>
      </c>
      <c r="K197" s="7">
        <v>0.09</v>
      </c>
      <c r="L197" s="42">
        <v>0.096</v>
      </c>
      <c r="M197" s="7">
        <v>0.091</v>
      </c>
      <c r="N197" s="7">
        <v>0.109</v>
      </c>
      <c r="O197" s="7">
        <v>0.097</v>
      </c>
    </row>
    <row r="198" spans="1:15" ht="12.75">
      <c r="A198" s="15" t="s">
        <v>211</v>
      </c>
      <c r="B198" s="15" t="s">
        <v>358</v>
      </c>
      <c r="C198" s="29">
        <v>278150</v>
      </c>
      <c r="D198" s="7">
        <v>-0.021</v>
      </c>
      <c r="E198" s="7">
        <v>0.072</v>
      </c>
      <c r="F198" s="7">
        <v>0.142</v>
      </c>
      <c r="G198" s="7">
        <v>0.105</v>
      </c>
      <c r="H198" s="7">
        <v>-0.146</v>
      </c>
      <c r="I198" s="7">
        <v>-0.066</v>
      </c>
      <c r="J198" s="7">
        <v>-0.016</v>
      </c>
      <c r="K198" s="7">
        <v>0.039</v>
      </c>
      <c r="L198" s="42">
        <v>-0.015</v>
      </c>
      <c r="M198" s="7">
        <v>-0.063</v>
      </c>
      <c r="N198" s="7">
        <v>0.163</v>
      </c>
      <c r="O198" s="7">
        <v>0.029</v>
      </c>
    </row>
    <row r="199" spans="1:15" ht="12.75">
      <c r="A199" s="1" t="s">
        <v>211</v>
      </c>
      <c r="B199" s="6" t="s">
        <v>215</v>
      </c>
      <c r="C199" s="29">
        <v>2231610</v>
      </c>
      <c r="D199" s="7">
        <f>154183/141707-1</f>
        <v>0.08804081661456387</v>
      </c>
      <c r="E199" s="7">
        <v>-0.032</v>
      </c>
      <c r="F199" s="7">
        <v>0.002</v>
      </c>
      <c r="G199" s="7">
        <v>0.382</v>
      </c>
      <c r="H199" s="7">
        <v>0.125</v>
      </c>
      <c r="I199" s="7">
        <v>0.082</v>
      </c>
      <c r="J199" s="7">
        <v>0.08454944629193162</v>
      </c>
      <c r="K199" s="7">
        <v>0.06448252619538808</v>
      </c>
      <c r="L199" s="42">
        <v>0.1333514246947083</v>
      </c>
      <c r="M199" s="7">
        <v>0.0716881877078972</v>
      </c>
      <c r="N199" s="7">
        <v>0.13226677667412234</v>
      </c>
      <c r="O199" s="7">
        <v>0.17522581489723787</v>
      </c>
    </row>
    <row r="200" spans="1:15" ht="12.75">
      <c r="A200" s="1" t="s">
        <v>211</v>
      </c>
      <c r="B200" s="6" t="s">
        <v>213</v>
      </c>
      <c r="C200" s="29">
        <v>2403173</v>
      </c>
      <c r="D200" s="7">
        <v>0.125</v>
      </c>
      <c r="E200" s="7">
        <v>-0.102</v>
      </c>
      <c r="F200" s="7">
        <v>-0.053</v>
      </c>
      <c r="G200" s="7">
        <v>0.193</v>
      </c>
      <c r="H200" s="7">
        <v>0.011</v>
      </c>
      <c r="I200" s="7">
        <v>0.047</v>
      </c>
      <c r="J200" s="7">
        <v>0.075</v>
      </c>
      <c r="K200" s="7">
        <v>0.098</v>
      </c>
      <c r="L200" s="42">
        <v>0.067</v>
      </c>
      <c r="M200" s="7">
        <v>0.014</v>
      </c>
      <c r="N200" s="7">
        <v>0.131</v>
      </c>
      <c r="O200" s="7">
        <v>0.069</v>
      </c>
    </row>
    <row r="201" spans="1:15" ht="12.75">
      <c r="A201" s="1" t="s">
        <v>211</v>
      </c>
      <c r="B201" s="6" t="s">
        <v>214</v>
      </c>
      <c r="C201" s="29">
        <v>2864014</v>
      </c>
      <c r="D201" s="7">
        <f>179999/170552-1</f>
        <v>0.05539073127257366</v>
      </c>
      <c r="E201" s="7">
        <f>178390/170862-1</f>
        <v>0.044058948156992184</v>
      </c>
      <c r="F201" s="7">
        <v>-0.01</v>
      </c>
      <c r="G201" s="7">
        <v>0.27</v>
      </c>
      <c r="H201" s="7">
        <v>0.04</v>
      </c>
      <c r="I201" s="7">
        <v>0.006</v>
      </c>
      <c r="J201" s="7">
        <v>-0.002</v>
      </c>
      <c r="K201" s="7">
        <v>0.015</v>
      </c>
      <c r="L201" s="42">
        <v>0.022</v>
      </c>
      <c r="M201" s="7">
        <v>0.022</v>
      </c>
      <c r="N201" s="7">
        <v>0.121</v>
      </c>
      <c r="O201" s="7">
        <v>0.179</v>
      </c>
    </row>
    <row r="202" spans="1:15" ht="12.75">
      <c r="A202" s="1" t="s">
        <v>211</v>
      </c>
      <c r="B202" s="6" t="s">
        <v>290</v>
      </c>
      <c r="C202" s="29">
        <v>393942</v>
      </c>
      <c r="D202" s="7">
        <v>0.22207007271697043</v>
      </c>
      <c r="E202" s="7">
        <v>0.2190931989924434</v>
      </c>
      <c r="F202" s="7">
        <v>0.05471577602725142</v>
      </c>
      <c r="G202" s="7">
        <v>0.246</v>
      </c>
      <c r="H202" s="7">
        <v>0.062</v>
      </c>
      <c r="I202" s="7">
        <v>0.013</v>
      </c>
      <c r="J202" s="7">
        <v>-0.097</v>
      </c>
      <c r="K202" s="7">
        <v>-0.045</v>
      </c>
      <c r="L202" s="42">
        <v>-0.389</v>
      </c>
      <c r="M202" s="7">
        <v>0.018</v>
      </c>
      <c r="N202" s="7">
        <v>0.329</v>
      </c>
      <c r="O202" s="7">
        <v>0.078</v>
      </c>
    </row>
    <row r="203" spans="1:15" ht="12.75">
      <c r="A203" s="1" t="s">
        <v>211</v>
      </c>
      <c r="B203" s="6" t="s">
        <v>217</v>
      </c>
      <c r="C203" s="29">
        <v>1419122</v>
      </c>
      <c r="D203" s="7">
        <v>0.1062660557747821</v>
      </c>
      <c r="E203" s="7">
        <v>0.007461963368543545</v>
      </c>
      <c r="F203" s="7">
        <v>-0.04169996872502346</v>
      </c>
      <c r="G203" s="7">
        <v>0.178</v>
      </c>
      <c r="H203" s="7">
        <v>-0.035</v>
      </c>
      <c r="I203" s="7">
        <v>-0.014</v>
      </c>
      <c r="J203" s="7">
        <v>-0.001</v>
      </c>
      <c r="K203" s="7">
        <v>0.008</v>
      </c>
      <c r="L203" s="42">
        <v>0.021</v>
      </c>
      <c r="M203" s="7">
        <v>-0.017</v>
      </c>
      <c r="N203" s="7">
        <v>0.142</v>
      </c>
      <c r="O203" s="7">
        <v>0.208</v>
      </c>
    </row>
    <row r="204" spans="1:15" ht="12.75">
      <c r="A204" s="1" t="s">
        <v>211</v>
      </c>
      <c r="B204" s="6" t="s">
        <v>327</v>
      </c>
      <c r="C204" s="29">
        <v>454203</v>
      </c>
      <c r="D204" s="7">
        <v>-0.048</v>
      </c>
      <c r="E204" s="7">
        <v>-0.05</v>
      </c>
      <c r="F204" s="7">
        <v>0.049</v>
      </c>
      <c r="G204" s="7">
        <v>0.267</v>
      </c>
      <c r="H204" s="7">
        <v>0.102</v>
      </c>
      <c r="I204" s="7">
        <v>0.007</v>
      </c>
      <c r="J204" s="7">
        <v>-0.027</v>
      </c>
      <c r="K204" s="7">
        <v>-0.026</v>
      </c>
      <c r="L204" s="42">
        <v>0.035</v>
      </c>
      <c r="M204" s="7">
        <v>0.072</v>
      </c>
      <c r="N204" s="7">
        <v>0.422</v>
      </c>
      <c r="O204" s="7">
        <v>0.436</v>
      </c>
    </row>
    <row r="205" spans="1:15" ht="12.75">
      <c r="A205" s="1" t="s">
        <v>211</v>
      </c>
      <c r="B205" s="6" t="s">
        <v>212</v>
      </c>
      <c r="C205" s="29">
        <v>8712384</v>
      </c>
      <c r="D205" s="7">
        <v>0.0514</v>
      </c>
      <c r="E205" s="7">
        <v>0.035</v>
      </c>
      <c r="F205" s="7">
        <v>0.042</v>
      </c>
      <c r="G205" s="7">
        <v>0.336</v>
      </c>
      <c r="H205" s="14">
        <v>0.095</v>
      </c>
      <c r="I205" s="14">
        <v>0.041</v>
      </c>
      <c r="J205" s="14">
        <v>0.022</v>
      </c>
      <c r="K205" s="14">
        <v>0.016</v>
      </c>
      <c r="L205" s="42">
        <v>0.183</v>
      </c>
      <c r="M205" s="7">
        <v>0.037</v>
      </c>
      <c r="N205" s="7">
        <v>0.01</v>
      </c>
      <c r="O205" s="7">
        <v>0.061</v>
      </c>
    </row>
    <row r="206" spans="1:15" ht="12.75">
      <c r="A206" s="1" t="s">
        <v>211</v>
      </c>
      <c r="B206" s="6" t="s">
        <v>216</v>
      </c>
      <c r="C206" s="29">
        <v>1654384</v>
      </c>
      <c r="D206" s="7">
        <v>0.09</v>
      </c>
      <c r="E206" s="7">
        <v>0.029</v>
      </c>
      <c r="F206" s="7">
        <v>-0.045</v>
      </c>
      <c r="G206" s="7">
        <v>0.22906791533132465</v>
      </c>
      <c r="H206" s="7">
        <v>-0.013131842336243205</v>
      </c>
      <c r="I206" s="7">
        <v>-0.04827606307015242</v>
      </c>
      <c r="J206" s="7">
        <v>-0.073</v>
      </c>
      <c r="K206" s="7">
        <v>-0.035</v>
      </c>
      <c r="L206" s="42">
        <v>-0.029</v>
      </c>
      <c r="M206" s="7">
        <v>-0.061</v>
      </c>
      <c r="N206" s="7">
        <v>0.056</v>
      </c>
      <c r="O206" s="7">
        <v>0.136</v>
      </c>
    </row>
    <row r="207" spans="1:15" ht="12.75">
      <c r="A207" s="1" t="s">
        <v>161</v>
      </c>
      <c r="B207" s="6" t="s">
        <v>175</v>
      </c>
      <c r="C207" s="29">
        <v>25938037</v>
      </c>
      <c r="D207" s="7">
        <v>0.082</v>
      </c>
      <c r="E207" s="7">
        <v>0.011</v>
      </c>
      <c r="F207" s="7">
        <v>0.064</v>
      </c>
      <c r="G207" s="7">
        <v>0.265</v>
      </c>
      <c r="H207" s="7">
        <v>0.111</v>
      </c>
      <c r="I207" s="7">
        <v>0.086</v>
      </c>
      <c r="J207" s="7">
        <v>0.06</v>
      </c>
      <c r="K207" s="7">
        <v>0.022</v>
      </c>
      <c r="L207" s="42">
        <v>0.059</v>
      </c>
      <c r="M207" s="7">
        <v>0.036</v>
      </c>
      <c r="N207" s="7">
        <v>-0.018</v>
      </c>
      <c r="O207" s="7">
        <v>-0.004</v>
      </c>
    </row>
    <row r="208" spans="1:15" ht="12.75">
      <c r="A208" s="1" t="s">
        <v>161</v>
      </c>
      <c r="B208" s="6" t="s">
        <v>170</v>
      </c>
      <c r="C208" s="29">
        <v>5342439</v>
      </c>
      <c r="D208" s="7">
        <v>0.058</v>
      </c>
      <c r="E208" s="7">
        <v>0.014</v>
      </c>
      <c r="F208" s="7">
        <v>0.063</v>
      </c>
      <c r="G208" s="7">
        <v>0.449</v>
      </c>
      <c r="H208" s="7">
        <v>0.064</v>
      </c>
      <c r="I208" s="7">
        <v>0.043</v>
      </c>
      <c r="J208" s="7">
        <v>0.028</v>
      </c>
      <c r="K208" s="7">
        <v>-0.003</v>
      </c>
      <c r="L208" s="42">
        <v>0.032</v>
      </c>
      <c r="M208" s="7">
        <v>0.019</v>
      </c>
      <c r="N208" s="7">
        <v>-0.093</v>
      </c>
      <c r="O208" s="7">
        <v>-0.088</v>
      </c>
    </row>
    <row r="209" spans="1:15" ht="12.75">
      <c r="A209" s="1" t="s">
        <v>161</v>
      </c>
      <c r="B209" s="6" t="s">
        <v>173</v>
      </c>
      <c r="C209" s="29">
        <v>189933</v>
      </c>
      <c r="D209" s="7">
        <v>0.05</v>
      </c>
      <c r="E209" s="7">
        <v>-0.051</v>
      </c>
      <c r="F209" s="7">
        <v>-0.096</v>
      </c>
      <c r="G209" s="7">
        <v>-0.013</v>
      </c>
      <c r="H209" s="7">
        <v>0.006</v>
      </c>
      <c r="I209" s="7">
        <v>-0.02</v>
      </c>
      <c r="J209" s="7">
        <v>0.028</v>
      </c>
      <c r="K209" s="7">
        <v>-0.079</v>
      </c>
      <c r="L209" s="42">
        <v>-0.066</v>
      </c>
      <c r="M209" s="7">
        <v>-0.03</v>
      </c>
      <c r="N209" s="7">
        <v>-0.082</v>
      </c>
      <c r="O209" s="7">
        <v>-0.053</v>
      </c>
    </row>
    <row r="210" spans="1:15" ht="12.75">
      <c r="A210" s="1" t="s">
        <v>161</v>
      </c>
      <c r="B210" s="6" t="s">
        <v>162</v>
      </c>
      <c r="C210" s="29">
        <v>14066354</v>
      </c>
      <c r="D210" s="7">
        <v>0.054</v>
      </c>
      <c r="E210" s="7">
        <v>-0.036</v>
      </c>
      <c r="F210" s="7">
        <v>0.029</v>
      </c>
      <c r="G210" s="7">
        <v>0.187</v>
      </c>
      <c r="H210" s="7">
        <v>0.089</v>
      </c>
      <c r="I210" s="7">
        <v>0.085</v>
      </c>
      <c r="J210" s="7">
        <v>0.048</v>
      </c>
      <c r="K210" s="7">
        <v>0.008</v>
      </c>
      <c r="L210" s="42">
        <v>0.063</v>
      </c>
      <c r="M210" s="7">
        <v>0.029</v>
      </c>
      <c r="N210" s="7">
        <v>0.01</v>
      </c>
      <c r="O210" s="7">
        <v>0.011</v>
      </c>
    </row>
    <row r="211" spans="1:15" ht="12.75">
      <c r="A211" s="1" t="s">
        <v>161</v>
      </c>
      <c r="B211" s="6" t="s">
        <v>171</v>
      </c>
      <c r="C211" s="29">
        <v>2233524</v>
      </c>
      <c r="D211" s="7">
        <v>-0.052</v>
      </c>
      <c r="E211" s="7">
        <v>-0.011</v>
      </c>
      <c r="F211" s="7">
        <v>0.09</v>
      </c>
      <c r="G211" s="7">
        <v>0.176</v>
      </c>
      <c r="H211" s="7">
        <v>0.215</v>
      </c>
      <c r="I211" s="7">
        <v>0.089</v>
      </c>
      <c r="J211" s="7">
        <v>0.048</v>
      </c>
      <c r="K211" s="7">
        <v>-0.016</v>
      </c>
      <c r="L211" s="42">
        <v>0.039</v>
      </c>
      <c r="M211" s="7">
        <v>-0.021</v>
      </c>
      <c r="N211" s="7">
        <v>-0.112</v>
      </c>
      <c r="O211" s="7">
        <v>-0.084</v>
      </c>
    </row>
    <row r="212" spans="1:15" ht="12.75">
      <c r="A212" s="1" t="s">
        <v>161</v>
      </c>
      <c r="B212" s="6" t="s">
        <v>172</v>
      </c>
      <c r="C212" s="29">
        <v>930579</v>
      </c>
      <c r="D212" s="7">
        <v>-0.011</v>
      </c>
      <c r="E212" s="7">
        <v>-0.066</v>
      </c>
      <c r="F212" s="7">
        <v>-0.047</v>
      </c>
      <c r="G212" s="7">
        <v>0.109</v>
      </c>
      <c r="H212" s="7">
        <v>0.016</v>
      </c>
      <c r="I212" s="7">
        <v>0.069</v>
      </c>
      <c r="J212" s="7">
        <v>0.028</v>
      </c>
      <c r="K212" s="7">
        <v>-0.012</v>
      </c>
      <c r="L212" s="42">
        <v>-0.037</v>
      </c>
      <c r="M212" s="7">
        <v>-0.034</v>
      </c>
      <c r="N212" s="7">
        <v>-0.085</v>
      </c>
      <c r="O212" s="7">
        <v>-0.045</v>
      </c>
    </row>
    <row r="213" spans="1:15" ht="12.75">
      <c r="A213" s="1" t="s">
        <v>161</v>
      </c>
      <c r="B213" s="6" t="s">
        <v>169</v>
      </c>
      <c r="C213" s="29">
        <v>5279531</v>
      </c>
      <c r="D213" s="7">
        <v>0.181</v>
      </c>
      <c r="E213" s="7">
        <v>0.151</v>
      </c>
      <c r="F213" s="7">
        <v>0.173</v>
      </c>
      <c r="G213" s="7">
        <v>0.366</v>
      </c>
      <c r="H213" s="7">
        <v>0.252</v>
      </c>
      <c r="I213" s="7">
        <v>0.157</v>
      </c>
      <c r="J213" s="7">
        <v>0.144</v>
      </c>
      <c r="K213" s="7">
        <v>0.099</v>
      </c>
      <c r="L213" s="42">
        <v>0.106</v>
      </c>
      <c r="M213" s="7">
        <v>0.094</v>
      </c>
      <c r="N213" s="7">
        <v>-0.037</v>
      </c>
      <c r="O213" s="7">
        <v>0</v>
      </c>
    </row>
    <row r="214" spans="1:15" ht="12.75">
      <c r="A214" s="1" t="s">
        <v>161</v>
      </c>
      <c r="B214" s="6" t="s">
        <v>174</v>
      </c>
      <c r="C214" s="29">
        <v>103337</v>
      </c>
      <c r="D214" s="7">
        <v>-0.262</v>
      </c>
      <c r="E214" s="7">
        <v>-0.339</v>
      </c>
      <c r="F214" s="7">
        <v>-0.521</v>
      </c>
      <c r="G214" s="7">
        <v>-0.02</v>
      </c>
      <c r="H214" s="7">
        <v>0.546</v>
      </c>
      <c r="I214" s="7">
        <v>0.2</v>
      </c>
      <c r="J214" s="7">
        <v>0.179</v>
      </c>
      <c r="K214" s="7">
        <v>0.162</v>
      </c>
      <c r="L214" s="42">
        <v>0.212</v>
      </c>
      <c r="M214" s="7">
        <v>-0.069</v>
      </c>
      <c r="N214" s="7">
        <v>-0.335</v>
      </c>
      <c r="O214" s="7">
        <v>0.441</v>
      </c>
    </row>
    <row r="215" spans="1:15" ht="12.75">
      <c r="A215" s="1" t="s">
        <v>239</v>
      </c>
      <c r="B215" s="6" t="s">
        <v>294</v>
      </c>
      <c r="C215" s="29">
        <v>240761</v>
      </c>
      <c r="D215" s="7">
        <v>-0.009512410230565704</v>
      </c>
      <c r="E215" s="7">
        <v>0.14564713670969875</v>
      </c>
      <c r="F215" s="7">
        <v>0.10438452815925414</v>
      </c>
      <c r="G215" s="7">
        <v>0.45305139186295507</v>
      </c>
      <c r="H215" s="7">
        <v>0.5803996686684614</v>
      </c>
      <c r="I215" s="7">
        <v>0.44187053474778093</v>
      </c>
      <c r="J215" s="7">
        <v>0.3504388693067939</v>
      </c>
      <c r="K215" s="7">
        <v>0.3684448025785656</v>
      </c>
      <c r="L215" s="42">
        <v>0.4939602084320227</v>
      </c>
      <c r="M215" s="7">
        <v>0.527816411682893</v>
      </c>
      <c r="N215" s="7">
        <v>0.26255044962118523</v>
      </c>
      <c r="O215" s="7">
        <v>0.33300589390962676</v>
      </c>
    </row>
    <row r="216" spans="1:15" ht="12.75">
      <c r="A216" s="1" t="s">
        <v>239</v>
      </c>
      <c r="B216" s="6" t="s">
        <v>250</v>
      </c>
      <c r="C216" s="29">
        <v>2117668</v>
      </c>
      <c r="D216" s="7">
        <v>0.2410816272735261</v>
      </c>
      <c r="E216" s="7">
        <v>0.20717801994361928</v>
      </c>
      <c r="F216" s="7">
        <v>0.08097084823917844</v>
      </c>
      <c r="G216" s="7">
        <v>0.24023365530406005</v>
      </c>
      <c r="H216" s="7">
        <v>0.13167070789434154</v>
      </c>
      <c r="I216" s="14">
        <v>0.1310081136818655</v>
      </c>
      <c r="J216" s="14">
        <v>0.073</v>
      </c>
      <c r="K216" s="14">
        <v>0.073</v>
      </c>
      <c r="L216" s="43">
        <v>0.105</v>
      </c>
      <c r="M216" s="7">
        <v>0.243</v>
      </c>
      <c r="N216" s="7">
        <v>0.098</v>
      </c>
      <c r="O216" s="7">
        <v>0.051</v>
      </c>
    </row>
    <row r="217" spans="1:15" ht="12.75">
      <c r="A217" s="1" t="s">
        <v>239</v>
      </c>
      <c r="B217" s="6" t="s">
        <v>240</v>
      </c>
      <c r="C217" s="29">
        <v>4916964</v>
      </c>
      <c r="D217" s="7">
        <v>0.014912692080468304</v>
      </c>
      <c r="E217" s="7">
        <v>0.05202825180840942</v>
      </c>
      <c r="F217" s="7">
        <v>-0.03127050803153353</v>
      </c>
      <c r="G217" s="7">
        <v>0.1340879975512148</v>
      </c>
      <c r="H217" s="7">
        <v>0.05904828974321763</v>
      </c>
      <c r="I217" s="7">
        <v>0.018862770687588126</v>
      </c>
      <c r="J217" s="7">
        <v>0.007</v>
      </c>
      <c r="K217" s="7">
        <v>-0.015</v>
      </c>
      <c r="L217" s="42">
        <v>0.02</v>
      </c>
      <c r="M217" s="7">
        <v>0.003</v>
      </c>
      <c r="N217" s="7">
        <v>0.023</v>
      </c>
      <c r="O217" s="7">
        <v>0.047</v>
      </c>
    </row>
    <row r="218" spans="1:15" ht="12.75">
      <c r="A218" s="1" t="s">
        <v>239</v>
      </c>
      <c r="B218" s="6" t="s">
        <v>251</v>
      </c>
      <c r="C218" s="29">
        <v>1029507</v>
      </c>
      <c r="D218" s="7">
        <v>0.12253986918497839</v>
      </c>
      <c r="E218" s="7">
        <v>-0.008847560149866873</v>
      </c>
      <c r="F218" s="7">
        <v>-0.020902222973136042</v>
      </c>
      <c r="G218" s="7">
        <v>0.261</v>
      </c>
      <c r="H218" s="7">
        <v>0.468</v>
      </c>
      <c r="I218" s="7">
        <v>0.086</v>
      </c>
      <c r="J218" s="7">
        <v>-0.07</v>
      </c>
      <c r="K218" s="7">
        <v>-0.087</v>
      </c>
      <c r="L218" s="42">
        <v>-0.061</v>
      </c>
      <c r="M218" s="7">
        <v>0.103</v>
      </c>
      <c r="N218" s="7">
        <v>-0.398</v>
      </c>
      <c r="O218" s="7">
        <v>-0.461</v>
      </c>
    </row>
    <row r="219" spans="1:15" ht="12.75">
      <c r="A219" s="1" t="s">
        <v>239</v>
      </c>
      <c r="B219" s="6" t="s">
        <v>293</v>
      </c>
      <c r="C219" s="29">
        <v>126740</v>
      </c>
      <c r="D219" s="7"/>
      <c r="E219" s="7"/>
      <c r="F219" s="7"/>
      <c r="G219" s="7">
        <v>0.24013677012098888</v>
      </c>
      <c r="H219" s="7">
        <v>0.2722578626193084</v>
      </c>
      <c r="I219" s="7">
        <v>0.053082942097026686</v>
      </c>
      <c r="J219" s="7"/>
      <c r="K219" s="7"/>
      <c r="L219" s="42"/>
      <c r="M219" s="7"/>
      <c r="N219" s="7"/>
      <c r="O219" s="7"/>
    </row>
    <row r="220" spans="1:15" ht="12.75">
      <c r="A220" s="1" t="s">
        <v>239</v>
      </c>
      <c r="B220" s="6" t="s">
        <v>295</v>
      </c>
      <c r="C220" s="29">
        <v>198752</v>
      </c>
      <c r="D220" s="7">
        <v>0.017140468227424766</v>
      </c>
      <c r="E220" s="7">
        <v>0.1288156928563935</v>
      </c>
      <c r="F220" s="7">
        <v>-0.04678362573099415</v>
      </c>
      <c r="G220" s="7">
        <v>-0.17514296143083097</v>
      </c>
      <c r="H220" s="7">
        <v>-0.1541496201052016</v>
      </c>
      <c r="I220" s="7">
        <v>-0.17586454040494537</v>
      </c>
      <c r="J220" s="7">
        <v>-0.2333744348540896</v>
      </c>
      <c r="K220" s="7">
        <v>-0.21481649984834694</v>
      </c>
      <c r="L220" s="42">
        <v>-0.12287221839871532</v>
      </c>
      <c r="M220" s="7"/>
      <c r="N220" s="7"/>
      <c r="O220" s="7"/>
    </row>
    <row r="221" spans="1:15" ht="12.75">
      <c r="A221" s="1" t="s">
        <v>239</v>
      </c>
      <c r="B221" s="6" t="s">
        <v>252</v>
      </c>
      <c r="C221" s="29">
        <v>1136064</v>
      </c>
      <c r="D221" s="7">
        <v>0.1065113292849309</v>
      </c>
      <c r="E221" s="7">
        <v>0.05598345976325336</v>
      </c>
      <c r="F221" s="7">
        <v>0.013082187632487363</v>
      </c>
      <c r="G221" s="7">
        <v>0.15385453752815526</v>
      </c>
      <c r="H221" s="7">
        <v>0.08187433056047722</v>
      </c>
      <c r="I221" s="7">
        <v>0.08310233475266471</v>
      </c>
      <c r="J221" s="7">
        <v>0.07782940299815899</v>
      </c>
      <c r="K221" s="7">
        <v>0.07342614063028652</v>
      </c>
      <c r="L221" s="42">
        <v>0.06275951022138981</v>
      </c>
      <c r="M221" s="7">
        <v>0.02591909882232457</v>
      </c>
      <c r="N221" s="7">
        <v>-0.03986090322871061</v>
      </c>
      <c r="O221" s="7">
        <v>-0.019017523044629003</v>
      </c>
    </row>
    <row r="222" spans="1:15" ht="12.75">
      <c r="A222" s="1" t="s">
        <v>245</v>
      </c>
      <c r="B222" s="6" t="s">
        <v>298</v>
      </c>
      <c r="C222" s="29">
        <v>2697208</v>
      </c>
      <c r="D222" s="7">
        <v>0.21204255945806638</v>
      </c>
      <c r="E222" s="7">
        <v>0.1387870016059638</v>
      </c>
      <c r="F222" s="7">
        <v>0.1515091002453357</v>
      </c>
      <c r="G222" s="7">
        <v>0.19136254980079692</v>
      </c>
      <c r="H222" s="7">
        <v>0.19348591081131383</v>
      </c>
      <c r="I222" s="7">
        <v>0.266</v>
      </c>
      <c r="J222" s="7">
        <v>0.25950094807762136</v>
      </c>
      <c r="K222" s="7">
        <v>0.26706945096198953</v>
      </c>
      <c r="L222" s="42">
        <v>0.26109648001837216</v>
      </c>
      <c r="M222" s="7">
        <v>0.2255988434624714</v>
      </c>
      <c r="N222" s="7">
        <v>0.17870263267477915</v>
      </c>
      <c r="O222" s="7">
        <v>0.1914869015022569</v>
      </c>
    </row>
    <row r="223" spans="1:15" ht="12.75">
      <c r="A223" s="1" t="s">
        <v>245</v>
      </c>
      <c r="B223" s="6" t="s">
        <v>313</v>
      </c>
      <c r="C223" s="29">
        <v>1364369</v>
      </c>
      <c r="D223" s="7">
        <v>0.10704376520021452</v>
      </c>
      <c r="E223" s="7">
        <v>0.09924332436995797</v>
      </c>
      <c r="F223" s="7">
        <v>0.11244541484716164</v>
      </c>
      <c r="G223" s="7">
        <v>0.14576607625861593</v>
      </c>
      <c r="H223" s="7">
        <v>0.1434950274000406</v>
      </c>
      <c r="I223" s="7">
        <v>0.1</v>
      </c>
      <c r="J223" s="7"/>
      <c r="K223" s="7"/>
      <c r="L223" s="42"/>
      <c r="M223" s="7"/>
      <c r="N223" s="7"/>
      <c r="O223" s="7"/>
    </row>
    <row r="224" spans="1:15" ht="12.75">
      <c r="A224" s="1" t="s">
        <v>245</v>
      </c>
      <c r="B224" s="6" t="s">
        <v>246</v>
      </c>
      <c r="C224" s="29">
        <v>22253529</v>
      </c>
      <c r="D224" s="7">
        <v>0.08342074461727877</v>
      </c>
      <c r="E224" s="7">
        <v>-0.01113193438478699</v>
      </c>
      <c r="F224" s="7">
        <v>0.045983022997469813</v>
      </c>
      <c r="G224" s="7">
        <v>0.22884927800754684</v>
      </c>
      <c r="H224" s="7">
        <v>0.24341517991938666</v>
      </c>
      <c r="I224" s="7">
        <v>0.227</v>
      </c>
      <c r="J224" s="7">
        <v>0.1790368586130593</v>
      </c>
      <c r="K224" s="7">
        <v>0.20643878696817985</v>
      </c>
      <c r="L224" s="42">
        <v>0.20532092460031026</v>
      </c>
      <c r="M224" s="7">
        <v>0.10926602907698046</v>
      </c>
      <c r="N224" s="7">
        <v>0.08277733066038429</v>
      </c>
      <c r="O224" s="7">
        <v>0.1374567574211294</v>
      </c>
    </row>
    <row r="225" spans="1:15" ht="12.75">
      <c r="A225" s="1" t="s">
        <v>245</v>
      </c>
      <c r="B225" s="6" t="s">
        <v>247</v>
      </c>
      <c r="C225" s="29">
        <v>19123007</v>
      </c>
      <c r="D225" s="7">
        <v>0.20443958598827172</v>
      </c>
      <c r="E225" s="7">
        <v>0.2184811592691629</v>
      </c>
      <c r="F225" s="7">
        <v>0.1983898186462083</v>
      </c>
      <c r="G225" s="7">
        <v>0.1878408740872275</v>
      </c>
      <c r="H225" s="7">
        <v>0.10954779441556162</v>
      </c>
      <c r="I225" s="7">
        <v>0.141</v>
      </c>
      <c r="J225" s="7">
        <v>0.16515537637361977</v>
      </c>
      <c r="K225" s="7">
        <v>0.17304331465343736</v>
      </c>
      <c r="L225" s="42">
        <v>0.16480453029122555</v>
      </c>
      <c r="M225" s="7">
        <v>0.10266159695817478</v>
      </c>
      <c r="N225" s="7">
        <v>0.18125208669760084</v>
      </c>
      <c r="O225" s="7">
        <v>0.23716892630603126</v>
      </c>
    </row>
    <row r="226" spans="1:15" ht="12.75">
      <c r="A226" s="1" t="s">
        <v>245</v>
      </c>
      <c r="B226" s="6" t="s">
        <v>248</v>
      </c>
      <c r="C226" s="29">
        <v>9460292</v>
      </c>
      <c r="D226" s="7">
        <v>-0.0366634686808901</v>
      </c>
      <c r="E226" s="7">
        <v>-0.11644294402915101</v>
      </c>
      <c r="F226" s="7">
        <v>-0.13177760968229957</v>
      </c>
      <c r="G226" s="7">
        <v>-0.14688955034887852</v>
      </c>
      <c r="H226" s="7">
        <v>-0.25099170347753186</v>
      </c>
      <c r="I226" s="7">
        <v>-0.238</v>
      </c>
      <c r="J226" s="7">
        <v>-0.13027920365936585</v>
      </c>
      <c r="K226" s="7">
        <v>-0.10580462413130354</v>
      </c>
      <c r="L226" s="42">
        <v>-0.10674507846379433</v>
      </c>
      <c r="M226" s="7">
        <v>-0.12926433720689778</v>
      </c>
      <c r="N226" s="7">
        <v>-0.07609574280433462</v>
      </c>
      <c r="O226" s="7">
        <v>-0.08626835876229866</v>
      </c>
    </row>
    <row r="227" spans="1:15" ht="12.75">
      <c r="A227" s="1" t="s">
        <v>245</v>
      </c>
      <c r="B227" s="6" t="s">
        <v>299</v>
      </c>
      <c r="C227" s="29">
        <v>2132445</v>
      </c>
      <c r="D227" s="7">
        <v>0.2083110356220479</v>
      </c>
      <c r="E227" s="7">
        <v>0.2428786870329338</v>
      </c>
      <c r="F227" s="7">
        <v>0.2579128380737319</v>
      </c>
      <c r="G227" s="7">
        <v>0.2807097816606374</v>
      </c>
      <c r="H227" s="7">
        <v>0.20937235285752243</v>
      </c>
      <c r="I227" s="7">
        <v>0.203</v>
      </c>
      <c r="J227" s="7">
        <v>0.15971882736978227</v>
      </c>
      <c r="K227" s="7">
        <v>0.20326835082862282</v>
      </c>
      <c r="L227" s="42">
        <v>0.23832333052969723</v>
      </c>
      <c r="M227" s="7">
        <v>0.24838328617345673</v>
      </c>
      <c r="N227" s="7">
        <v>0.28495275450169366</v>
      </c>
      <c r="O227" s="7">
        <v>0.3025694716586047</v>
      </c>
    </row>
    <row r="228" spans="1:15" ht="12.75">
      <c r="A228" s="1" t="s">
        <v>245</v>
      </c>
      <c r="B228" s="6" t="s">
        <v>312</v>
      </c>
      <c r="C228" s="29">
        <v>1438623</v>
      </c>
      <c r="D228" s="7">
        <v>0.28018442269286714</v>
      </c>
      <c r="E228" s="7">
        <v>0.08499784063917071</v>
      </c>
      <c r="F228" s="7">
        <v>0.08045191512813443</v>
      </c>
      <c r="G228" s="7">
        <v>0.14237800419246316</v>
      </c>
      <c r="H228" s="7">
        <v>0.14149249661002816</v>
      </c>
      <c r="I228" s="7">
        <v>0.307</v>
      </c>
      <c r="J228" s="7">
        <v>0.25516589102616316</v>
      </c>
      <c r="K228" s="7">
        <v>0.22360985224072172</v>
      </c>
      <c r="L228" s="42">
        <v>0.19782991672005124</v>
      </c>
      <c r="M228" s="7">
        <v>0.09586097708082031</v>
      </c>
      <c r="N228" s="7">
        <v>0.20711779911373718</v>
      </c>
      <c r="O228" s="7">
        <v>0.2191860854907144</v>
      </c>
    </row>
    <row r="229" spans="1:15" ht="12.75">
      <c r="A229" s="1" t="s">
        <v>245</v>
      </c>
      <c r="B229" s="6" t="s">
        <v>300</v>
      </c>
      <c r="C229" s="29">
        <v>1535041</v>
      </c>
      <c r="D229" s="7">
        <v>0.09695768528782733</v>
      </c>
      <c r="E229" s="7">
        <v>0.035480089599702946</v>
      </c>
      <c r="F229" s="7">
        <v>0.02244671062720438</v>
      </c>
      <c r="G229" s="7">
        <v>0.051267100637031326</v>
      </c>
      <c r="H229" s="7">
        <v>0.0643249112304487</v>
      </c>
      <c r="I229" s="7">
        <v>0.165</v>
      </c>
      <c r="J229" s="7">
        <v>0.11983970263677546</v>
      </c>
      <c r="K229" s="7">
        <v>0.22683853707475765</v>
      </c>
      <c r="L229" s="42">
        <v>0.19549882431978505</v>
      </c>
      <c r="M229" s="7">
        <v>0.052998211428033404</v>
      </c>
      <c r="N229" s="7">
        <v>0.13469630043472924</v>
      </c>
      <c r="O229" s="7">
        <v>0.13037064850077784</v>
      </c>
    </row>
    <row r="230" spans="1:15" ht="12.75">
      <c r="A230" s="1" t="s">
        <v>245</v>
      </c>
      <c r="B230" s="6" t="s">
        <v>249</v>
      </c>
      <c r="C230" s="29">
        <v>8391281</v>
      </c>
      <c r="D230" s="7">
        <v>0.1738925551724353</v>
      </c>
      <c r="E230" s="7">
        <v>0.08826483798854556</v>
      </c>
      <c r="F230" s="7">
        <v>0.15237940090829283</v>
      </c>
      <c r="G230" s="7">
        <v>0.35369677033366376</v>
      </c>
      <c r="H230" s="7">
        <v>0.11520806662000727</v>
      </c>
      <c r="I230" s="7">
        <v>0.082</v>
      </c>
      <c r="J230" s="7">
        <v>0.1074575300722509</v>
      </c>
      <c r="K230" s="7">
        <v>0.1319633497316417</v>
      </c>
      <c r="L230" s="42">
        <v>0.15427852533304653</v>
      </c>
      <c r="M230" s="7">
        <v>0.14021014766330553</v>
      </c>
      <c r="N230" s="7">
        <v>0.12545810696420445</v>
      </c>
      <c r="O230" s="7">
        <v>0.20452605733893914</v>
      </c>
    </row>
    <row r="231" spans="1:15" ht="12.75">
      <c r="A231" s="1" t="s">
        <v>245</v>
      </c>
      <c r="B231" s="6" t="s">
        <v>314</v>
      </c>
      <c r="C231" s="29">
        <v>1262823</v>
      </c>
      <c r="D231" s="7">
        <v>0.14462200517370594</v>
      </c>
      <c r="E231" s="7">
        <v>0.18975483356587608</v>
      </c>
      <c r="F231" s="7">
        <v>0.16798697650956695</v>
      </c>
      <c r="G231" s="7">
        <v>0.2014519895493747</v>
      </c>
      <c r="H231" s="7">
        <v>0.15908861475095404</v>
      </c>
      <c r="I231" s="7">
        <v>0.138</v>
      </c>
      <c r="J231" s="7"/>
      <c r="K231" s="7"/>
      <c r="L231" s="42"/>
      <c r="M231" s="7"/>
      <c r="N231" s="7"/>
      <c r="O231" s="7"/>
    </row>
    <row r="232" spans="1:15" ht="12.75">
      <c r="A232" s="1" t="s">
        <v>219</v>
      </c>
      <c r="B232" s="6" t="s">
        <v>220</v>
      </c>
      <c r="C232" s="29">
        <v>2698730</v>
      </c>
      <c r="D232" s="7">
        <v>0.1423</v>
      </c>
      <c r="E232" s="7">
        <f>162813/136604-1</f>
        <v>0.1918611460864983</v>
      </c>
      <c r="F232" s="7">
        <f>188826/167372-1</f>
        <v>0.1281815357407452</v>
      </c>
      <c r="G232" s="7">
        <v>0.389</v>
      </c>
      <c r="H232" s="7">
        <v>0.1967</v>
      </c>
      <c r="I232" s="7">
        <f>301782/258384-1</f>
        <v>0.16795931636633843</v>
      </c>
      <c r="J232" s="7">
        <v>0.0886</v>
      </c>
      <c r="K232" s="7">
        <f>382727/358750-1</f>
        <v>0.06683484320557498</v>
      </c>
      <c r="L232" s="42">
        <v>0.1543</v>
      </c>
      <c r="M232" s="7">
        <v>0.206</v>
      </c>
      <c r="N232" s="7">
        <v>0.177</v>
      </c>
      <c r="O232" s="7">
        <v>0.132</v>
      </c>
    </row>
    <row r="233" spans="1:15" ht="12.75">
      <c r="A233" s="1" t="s">
        <v>256</v>
      </c>
      <c r="B233" s="6" t="s">
        <v>257</v>
      </c>
      <c r="C233" s="29">
        <v>1665704</v>
      </c>
      <c r="D233" s="7">
        <f>78775/91321-1</f>
        <v>-0.13738351529221104</v>
      </c>
      <c r="E233" s="7">
        <f>74570/89329-1</f>
        <v>-0.1652207010041532</v>
      </c>
      <c r="F233" s="7">
        <f>98973/106372-1</f>
        <v>-0.06955777836272703</v>
      </c>
      <c r="G233" s="7">
        <f>101727/90554-1</f>
        <v>0.12338494158181867</v>
      </c>
      <c r="H233" s="7">
        <f>112958/122273-1</f>
        <v>-0.07618198621118322</v>
      </c>
      <c r="I233" s="7">
        <f>174812/178994-1</f>
        <v>-0.02336391163949625</v>
      </c>
      <c r="J233" s="7">
        <f>251024/244500-1</f>
        <v>0.026683026584866987</v>
      </c>
      <c r="K233" s="7">
        <f>245745/243341-1</f>
        <v>0.009879140794194052</v>
      </c>
      <c r="L233" s="42">
        <f>181968/186778-1</f>
        <v>-0.02575249761749243</v>
      </c>
      <c r="M233" s="7">
        <f>120464/138678-1</f>
        <v>-0.13134022700067782</v>
      </c>
      <c r="N233" s="7">
        <f>74610/90141-1</f>
        <v>-0.17229673511498655</v>
      </c>
      <c r="O233" s="7">
        <f>69438/83433-1</f>
        <v>-0.1677393836970983</v>
      </c>
    </row>
    <row r="234" spans="1:15" s="1" customFormat="1" ht="12.75">
      <c r="A234" s="1" t="s">
        <v>256</v>
      </c>
      <c r="B234" s="6" t="s">
        <v>258</v>
      </c>
      <c r="C234" s="29">
        <v>267060</v>
      </c>
      <c r="D234" s="7"/>
      <c r="E234" s="7"/>
      <c r="F234" s="7"/>
      <c r="G234" s="7"/>
      <c r="H234" s="7"/>
      <c r="I234" s="7"/>
      <c r="J234" s="7"/>
      <c r="K234" s="7"/>
      <c r="L234" s="42"/>
      <c r="M234" s="7"/>
      <c r="N234" s="7"/>
      <c r="O234" s="7"/>
    </row>
    <row r="235" spans="1:15" ht="12.75">
      <c r="A235" s="1" t="s">
        <v>297</v>
      </c>
      <c r="B235" s="6" t="s">
        <v>324</v>
      </c>
      <c r="C235" s="29">
        <v>1388651</v>
      </c>
      <c r="D235" s="7">
        <v>-0.007261557443417721</v>
      </c>
      <c r="E235" s="7">
        <v>-0.00530804154822373</v>
      </c>
      <c r="F235" s="7">
        <v>4.5170178648135106E-05</v>
      </c>
      <c r="G235" s="7">
        <v>1.1424807947552589</v>
      </c>
      <c r="H235" s="7">
        <v>-0.04229379647781217</v>
      </c>
      <c r="I235" s="7">
        <v>-0.009062625869803775</v>
      </c>
      <c r="J235" s="7">
        <v>-0.08911716445865447</v>
      </c>
      <c r="K235" s="7">
        <v>-0.14147244442862306</v>
      </c>
      <c r="L235" s="42">
        <v>-0.05014440824497757</v>
      </c>
      <c r="M235" s="7">
        <v>-0.075</v>
      </c>
      <c r="N235" s="7">
        <v>-0.022</v>
      </c>
      <c r="O235" s="7">
        <v>-0.022</v>
      </c>
    </row>
    <row r="236" spans="1:15" ht="12.75">
      <c r="A236" s="1" t="s">
        <v>33</v>
      </c>
      <c r="B236" s="1" t="s">
        <v>57</v>
      </c>
      <c r="C236" s="29">
        <v>1101208</v>
      </c>
      <c r="D236" s="7">
        <v>0.031</v>
      </c>
      <c r="E236" s="7">
        <v>-0.033</v>
      </c>
      <c r="F236" s="7">
        <v>-0.037</v>
      </c>
      <c r="G236" s="7">
        <v>0.06</v>
      </c>
      <c r="H236" s="7">
        <v>-0.045</v>
      </c>
      <c r="I236" s="7">
        <v>-0.115</v>
      </c>
      <c r="J236" s="7">
        <v>-0.09</v>
      </c>
      <c r="K236" s="7">
        <v>-0.139</v>
      </c>
      <c r="L236" s="42">
        <v>-0.139</v>
      </c>
      <c r="M236" s="7">
        <v>-0.158</v>
      </c>
      <c r="N236" s="7">
        <v>-0.162</v>
      </c>
      <c r="O236" s="7">
        <v>-0.084</v>
      </c>
    </row>
    <row r="237" spans="1:15" ht="12.75">
      <c r="A237" s="1" t="s">
        <v>33</v>
      </c>
      <c r="B237" s="1" t="s">
        <v>39</v>
      </c>
      <c r="C237" s="29">
        <v>9382935</v>
      </c>
      <c r="D237" s="7">
        <v>0.03</v>
      </c>
      <c r="E237" s="7">
        <v>0.035</v>
      </c>
      <c r="F237" s="7">
        <v>-0.012</v>
      </c>
      <c r="G237" s="7">
        <v>0.279</v>
      </c>
      <c r="H237" s="7">
        <v>0.073</v>
      </c>
      <c r="I237" s="7">
        <v>0.063</v>
      </c>
      <c r="J237" s="7">
        <v>0.068</v>
      </c>
      <c r="K237" s="7">
        <v>0.046</v>
      </c>
      <c r="L237" s="42">
        <v>0.077</v>
      </c>
      <c r="M237" s="7">
        <v>0.036</v>
      </c>
      <c r="N237" s="7">
        <v>-0.062</v>
      </c>
      <c r="O237" s="7">
        <v>-0.028</v>
      </c>
    </row>
    <row r="238" spans="1:15" ht="12.75">
      <c r="A238" s="1" t="s">
        <v>33</v>
      </c>
      <c r="B238" s="1" t="s">
        <v>385</v>
      </c>
      <c r="C238" s="29">
        <v>192712927</v>
      </c>
      <c r="D238" s="7">
        <v>0.06</v>
      </c>
      <c r="E238" s="7">
        <v>0.044</v>
      </c>
      <c r="F238" s="7">
        <v>0.045</v>
      </c>
      <c r="G238" s="7">
        <v>0.203</v>
      </c>
      <c r="H238" s="7">
        <v>0.064</v>
      </c>
      <c r="I238" s="7">
        <v>0.068</v>
      </c>
      <c r="J238" s="7">
        <v>0.067</v>
      </c>
      <c r="K238" s="7">
        <v>0.046</v>
      </c>
      <c r="L238" s="42">
        <v>0.075</v>
      </c>
      <c r="M238" s="7">
        <v>0.023</v>
      </c>
      <c r="N238" s="7">
        <v>-0.021</v>
      </c>
      <c r="O238" s="7">
        <v>0.041</v>
      </c>
    </row>
    <row r="239" spans="1:15" ht="12.75">
      <c r="A239" s="1" t="s">
        <v>33</v>
      </c>
      <c r="B239" s="1" t="s">
        <v>58</v>
      </c>
      <c r="C239" s="29">
        <v>787259</v>
      </c>
      <c r="D239" s="7">
        <v>-0.077</v>
      </c>
      <c r="E239" s="7">
        <v>-0.059</v>
      </c>
      <c r="F239" s="7">
        <v>0.008</v>
      </c>
      <c r="G239" s="7">
        <v>0.11</v>
      </c>
      <c r="H239" s="7">
        <v>-0.067</v>
      </c>
      <c r="I239" s="7">
        <v>0.061</v>
      </c>
      <c r="J239" s="7">
        <v>-0.011</v>
      </c>
      <c r="K239" s="7">
        <v>0.01</v>
      </c>
      <c r="L239" s="42">
        <v>0.082</v>
      </c>
      <c r="M239" s="7">
        <v>0.019</v>
      </c>
      <c r="N239" s="7">
        <v>-0.188</v>
      </c>
      <c r="O239" s="7">
        <v>-0.118</v>
      </c>
    </row>
    <row r="240" spans="1:15" ht="12.75">
      <c r="A240" s="1" t="s">
        <v>33</v>
      </c>
      <c r="B240" s="1" t="s">
        <v>53</v>
      </c>
      <c r="C240" s="29">
        <v>1355364</v>
      </c>
      <c r="D240" s="7">
        <v>0.139</v>
      </c>
      <c r="E240" s="7">
        <v>0.085</v>
      </c>
      <c r="F240" s="7">
        <v>0.135</v>
      </c>
      <c r="G240" s="7">
        <v>0.183</v>
      </c>
      <c r="H240" s="7">
        <v>0.077</v>
      </c>
      <c r="I240" s="7">
        <v>-0.037</v>
      </c>
      <c r="J240" s="7">
        <v>-0.103</v>
      </c>
      <c r="K240" s="7">
        <v>-0.114</v>
      </c>
      <c r="L240" s="42">
        <v>-0.017</v>
      </c>
      <c r="M240" s="7">
        <v>-0.109</v>
      </c>
      <c r="N240" s="7">
        <v>-0.11</v>
      </c>
      <c r="O240" s="7">
        <v>-0.138</v>
      </c>
    </row>
    <row r="241" spans="1:15" s="1" customFormat="1" ht="12.75">
      <c r="A241" s="1" t="s">
        <v>33</v>
      </c>
      <c r="B241" s="1" t="s">
        <v>35</v>
      </c>
      <c r="C241" s="29">
        <v>29209595</v>
      </c>
      <c r="D241" s="7">
        <v>0.2</v>
      </c>
      <c r="E241" s="7">
        <v>0.141</v>
      </c>
      <c r="F241" s="7">
        <v>0.133</v>
      </c>
      <c r="G241" s="7">
        <v>0.293</v>
      </c>
      <c r="H241" s="7">
        <v>0.223</v>
      </c>
      <c r="I241" s="7">
        <v>0.23</v>
      </c>
      <c r="J241" s="7">
        <v>0.213</v>
      </c>
      <c r="K241" s="7">
        <v>0.191</v>
      </c>
      <c r="L241" s="42">
        <v>0.177</v>
      </c>
      <c r="M241" s="7">
        <v>0.095</v>
      </c>
      <c r="N241" s="7">
        <v>0.063</v>
      </c>
      <c r="O241" s="7">
        <v>0.168</v>
      </c>
    </row>
    <row r="242" spans="1:15" ht="12.75">
      <c r="A242" s="1" t="s">
        <v>33</v>
      </c>
      <c r="B242" s="1" t="s">
        <v>47</v>
      </c>
      <c r="C242" s="29">
        <v>3888969</v>
      </c>
      <c r="D242" s="7">
        <v>0.049</v>
      </c>
      <c r="E242" s="7">
        <v>-0.015</v>
      </c>
      <c r="F242" s="7">
        <v>0.018</v>
      </c>
      <c r="G242" s="7">
        <v>0.056</v>
      </c>
      <c r="H242" s="7">
        <v>0.043</v>
      </c>
      <c r="I242" s="7">
        <v>0.023</v>
      </c>
      <c r="J242" s="7">
        <v>0.055</v>
      </c>
      <c r="K242" s="7">
        <v>0.057</v>
      </c>
      <c r="L242" s="42">
        <v>0.065</v>
      </c>
      <c r="M242" s="7">
        <v>0.015</v>
      </c>
      <c r="N242" s="7">
        <v>0.014</v>
      </c>
      <c r="O242" s="7">
        <v>0.099</v>
      </c>
    </row>
    <row r="243" spans="1:15" ht="12.75">
      <c r="A243" s="1" t="s">
        <v>33</v>
      </c>
      <c r="B243" s="1" t="s">
        <v>65</v>
      </c>
      <c r="C243" s="29">
        <v>170975</v>
      </c>
      <c r="D243" s="7">
        <v>-0.067</v>
      </c>
      <c r="E243" s="7">
        <v>0.142</v>
      </c>
      <c r="F243" s="7">
        <v>-0.065</v>
      </c>
      <c r="G243" s="7">
        <v>0.045</v>
      </c>
      <c r="H243" s="7">
        <v>0.004</v>
      </c>
      <c r="I243" s="7">
        <v>-0.021</v>
      </c>
      <c r="J243" s="7">
        <v>0.038</v>
      </c>
      <c r="K243" s="7">
        <v>0.037</v>
      </c>
      <c r="L243" s="42">
        <v>0.058</v>
      </c>
      <c r="M243" s="7">
        <v>-0.116</v>
      </c>
      <c r="N243" s="7">
        <v>-0.018</v>
      </c>
      <c r="O243" s="7">
        <v>-0.061</v>
      </c>
    </row>
    <row r="244" spans="1:15" ht="12.75">
      <c r="A244" s="1" t="s">
        <v>33</v>
      </c>
      <c r="B244" s="1" t="s">
        <v>45</v>
      </c>
      <c r="C244" s="29">
        <v>4173686</v>
      </c>
      <c r="D244" s="7">
        <v>0.24</v>
      </c>
      <c r="E244" s="7">
        <v>0.323</v>
      </c>
      <c r="F244" s="7">
        <v>0.29</v>
      </c>
      <c r="G244" s="7">
        <v>0.492</v>
      </c>
      <c r="H244" s="7">
        <v>0.154</v>
      </c>
      <c r="I244" s="7">
        <v>0.136</v>
      </c>
      <c r="J244" s="7">
        <v>0.135</v>
      </c>
      <c r="K244" s="7">
        <v>0.107</v>
      </c>
      <c r="L244" s="42">
        <v>0.13</v>
      </c>
      <c r="M244" s="7">
        <v>0.161</v>
      </c>
      <c r="N244" s="7">
        <v>0.061</v>
      </c>
      <c r="O244" s="7">
        <v>0.094</v>
      </c>
    </row>
    <row r="245" spans="1:15" ht="12.75">
      <c r="A245" s="1" t="s">
        <v>33</v>
      </c>
      <c r="B245" s="1" t="s">
        <v>43</v>
      </c>
      <c r="C245" s="29">
        <v>4863785</v>
      </c>
      <c r="D245" s="7">
        <v>-0.325</v>
      </c>
      <c r="E245" s="7">
        <v>-0.326</v>
      </c>
      <c r="F245" s="7">
        <v>-0.26</v>
      </c>
      <c r="G245" s="7">
        <v>-0.213</v>
      </c>
      <c r="H245" s="7">
        <v>-0.414</v>
      </c>
      <c r="I245" s="7">
        <v>-0.419</v>
      </c>
      <c r="J245" s="7">
        <v>-0.41</v>
      </c>
      <c r="K245" s="7">
        <v>-0.421</v>
      </c>
      <c r="L245" s="42">
        <v>-0.368</v>
      </c>
      <c r="M245" s="7">
        <v>-0.418</v>
      </c>
      <c r="N245" s="7">
        <v>-0.541</v>
      </c>
      <c r="O245" s="7">
        <v>-0.505</v>
      </c>
    </row>
    <row r="246" spans="1:15" ht="12.75">
      <c r="A246" s="1" t="s">
        <v>33</v>
      </c>
      <c r="B246" s="1" t="s">
        <v>38</v>
      </c>
      <c r="C246" s="29">
        <v>9486035</v>
      </c>
      <c r="D246" s="7">
        <v>0.059</v>
      </c>
      <c r="E246" s="7">
        <v>0.108</v>
      </c>
      <c r="F246" s="7">
        <v>0.095</v>
      </c>
      <c r="G246" s="7">
        <v>0.304</v>
      </c>
      <c r="H246" s="7">
        <v>0.041</v>
      </c>
      <c r="I246" s="7">
        <v>0.081</v>
      </c>
      <c r="J246" s="7">
        <v>0.132</v>
      </c>
      <c r="K246" s="7">
        <v>0.12</v>
      </c>
      <c r="L246" s="42">
        <v>0.1</v>
      </c>
      <c r="M246" s="7">
        <v>0.087</v>
      </c>
      <c r="N246" s="7">
        <v>0.09</v>
      </c>
      <c r="O246" s="7">
        <v>0.128</v>
      </c>
    </row>
    <row r="247" spans="1:15" ht="12.75">
      <c r="A247" s="1" t="s">
        <v>33</v>
      </c>
      <c r="B247" s="1" t="s">
        <v>54</v>
      </c>
      <c r="C247" s="29">
        <v>978107</v>
      </c>
      <c r="D247" s="7">
        <v>-0.199</v>
      </c>
      <c r="E247" s="7">
        <v>-0.212</v>
      </c>
      <c r="F247" s="7">
        <v>-0.202</v>
      </c>
      <c r="G247" s="7">
        <v>-0.143</v>
      </c>
      <c r="H247" s="7">
        <v>0.024</v>
      </c>
      <c r="I247" s="7">
        <v>0.015</v>
      </c>
      <c r="J247" s="7">
        <v>-0.057</v>
      </c>
      <c r="K247" s="7">
        <v>-0.078</v>
      </c>
      <c r="L247" s="42">
        <v>-0.038</v>
      </c>
      <c r="M247" s="7">
        <v>-0.189</v>
      </c>
      <c r="N247" s="7">
        <v>-0.133</v>
      </c>
      <c r="O247" s="7">
        <v>0.01</v>
      </c>
    </row>
    <row r="248" spans="1:15" ht="12.75">
      <c r="A248" s="1" t="s">
        <v>33</v>
      </c>
      <c r="B248" s="1" t="s">
        <v>44</v>
      </c>
      <c r="C248" s="29">
        <v>5040800</v>
      </c>
      <c r="D248" s="7">
        <v>0.104</v>
      </c>
      <c r="E248" s="7">
        <v>0.071</v>
      </c>
      <c r="F248" s="7">
        <v>0.087</v>
      </c>
      <c r="G248" s="7">
        <v>0.329</v>
      </c>
      <c r="H248" s="7">
        <v>0.117</v>
      </c>
      <c r="I248" s="7">
        <v>0.162</v>
      </c>
      <c r="J248" s="7">
        <v>0.116</v>
      </c>
      <c r="K248" s="7">
        <v>0.049</v>
      </c>
      <c r="L248" s="42">
        <v>0.132</v>
      </c>
      <c r="M248" s="7">
        <v>0.195</v>
      </c>
      <c r="N248" s="7">
        <v>0.044</v>
      </c>
      <c r="O248" s="7">
        <v>0.063</v>
      </c>
    </row>
    <row r="249" spans="1:15" ht="12.75">
      <c r="A249" s="1" t="s">
        <v>33</v>
      </c>
      <c r="B249" s="1" t="s">
        <v>52</v>
      </c>
      <c r="C249" s="29">
        <v>1042136</v>
      </c>
      <c r="D249" s="7">
        <v>-0.161</v>
      </c>
      <c r="E249" s="7">
        <v>-0.077</v>
      </c>
      <c r="F249" s="7">
        <v>-0.034</v>
      </c>
      <c r="G249" s="7">
        <v>0.015</v>
      </c>
      <c r="H249" s="7">
        <v>-0.064</v>
      </c>
      <c r="I249" s="7">
        <v>0.053</v>
      </c>
      <c r="J249" s="7">
        <v>0.017</v>
      </c>
      <c r="K249" s="7">
        <v>0.03</v>
      </c>
      <c r="L249" s="42">
        <v>0.091</v>
      </c>
      <c r="M249" s="7">
        <v>-0.013</v>
      </c>
      <c r="N249" s="7">
        <v>-0.087</v>
      </c>
      <c r="O249" s="7">
        <v>-0.151</v>
      </c>
    </row>
    <row r="250" spans="1:15" ht="12.75">
      <c r="A250" s="1" t="s">
        <v>33</v>
      </c>
      <c r="B250" s="1" t="s">
        <v>42</v>
      </c>
      <c r="C250" s="29">
        <v>4938632</v>
      </c>
      <c r="D250" s="7">
        <v>0.05</v>
      </c>
      <c r="E250" s="7">
        <v>0.116</v>
      </c>
      <c r="F250" s="7">
        <v>0.122</v>
      </c>
      <c r="G250" s="7">
        <v>0.355</v>
      </c>
      <c r="H250" s="7">
        <v>0.129</v>
      </c>
      <c r="I250" s="7">
        <v>0.128</v>
      </c>
      <c r="J250" s="7">
        <v>0.102</v>
      </c>
      <c r="K250" s="7">
        <v>0.049</v>
      </c>
      <c r="L250" s="42">
        <v>0.143</v>
      </c>
      <c r="M250" s="7">
        <v>0.113</v>
      </c>
      <c r="N250" s="7">
        <v>0.083</v>
      </c>
      <c r="O250" s="7">
        <v>0.127</v>
      </c>
    </row>
    <row r="251" spans="1:15" ht="12.75">
      <c r="A251" s="1" t="s">
        <v>33</v>
      </c>
      <c r="B251" s="1" t="s">
        <v>392</v>
      </c>
      <c r="C251" s="29">
        <v>992363</v>
      </c>
      <c r="D251" s="7">
        <v>-0.055</v>
      </c>
      <c r="E251" s="7">
        <v>0.173</v>
      </c>
      <c r="F251" s="7">
        <v>0.048</v>
      </c>
      <c r="G251" s="7">
        <v>0.144</v>
      </c>
      <c r="H251" s="7">
        <v>0.08</v>
      </c>
      <c r="I251" s="7">
        <v>0.021</v>
      </c>
      <c r="J251" s="7">
        <v>-0.03</v>
      </c>
      <c r="K251" s="7">
        <v>0.096</v>
      </c>
      <c r="L251" s="42">
        <v>0.167</v>
      </c>
      <c r="M251" s="7">
        <v>0.008</v>
      </c>
      <c r="N251" s="7">
        <v>0.178</v>
      </c>
      <c r="O251" s="7">
        <v>0.139</v>
      </c>
    </row>
    <row r="252" spans="1:15" ht="12.75">
      <c r="A252" s="1" t="s">
        <v>33</v>
      </c>
      <c r="B252" s="1" t="s">
        <v>34</v>
      </c>
      <c r="C252" s="29">
        <v>49863504</v>
      </c>
      <c r="D252" s="7">
        <v>0.033</v>
      </c>
      <c r="E252" s="7">
        <v>-0.01</v>
      </c>
      <c r="F252" s="7">
        <v>-0.019</v>
      </c>
      <c r="G252" s="7">
        <v>0.083</v>
      </c>
      <c r="H252" s="7">
        <v>-0.017</v>
      </c>
      <c r="I252" s="7">
        <v>-0.015</v>
      </c>
      <c r="J252" s="7">
        <v>-0.004</v>
      </c>
      <c r="K252" s="7">
        <v>-0.011</v>
      </c>
      <c r="L252" s="42">
        <v>0.012</v>
      </c>
      <c r="M252" s="7">
        <v>-0.035</v>
      </c>
      <c r="N252" s="7">
        <v>-0.061</v>
      </c>
      <c r="O252" s="7">
        <v>0.007</v>
      </c>
    </row>
    <row r="253" spans="1:15" ht="12.75">
      <c r="A253" s="1" t="s">
        <v>33</v>
      </c>
      <c r="B253" s="1" t="s">
        <v>37</v>
      </c>
      <c r="C253" s="29">
        <v>12064616</v>
      </c>
      <c r="D253" s="7">
        <v>0.081</v>
      </c>
      <c r="E253" s="7">
        <v>0.06</v>
      </c>
      <c r="F253" s="7">
        <v>0.092</v>
      </c>
      <c r="G253" s="7">
        <v>0.339</v>
      </c>
      <c r="H253" s="7">
        <v>0.098</v>
      </c>
      <c r="I253" s="7">
        <v>0.084</v>
      </c>
      <c r="J253" s="7">
        <v>0.031</v>
      </c>
      <c r="K253" s="7">
        <v>0.02</v>
      </c>
      <c r="L253" s="42">
        <v>0.053</v>
      </c>
      <c r="M253" s="7">
        <v>-0.006</v>
      </c>
      <c r="N253" s="7">
        <v>-0.069</v>
      </c>
      <c r="O253" s="7">
        <v>0.002</v>
      </c>
    </row>
    <row r="254" spans="1:15" ht="12.75">
      <c r="A254" s="1" t="s">
        <v>33</v>
      </c>
      <c r="B254" s="1" t="s">
        <v>64</v>
      </c>
      <c r="C254" s="29">
        <v>292608</v>
      </c>
      <c r="D254" s="7">
        <v>0.016</v>
      </c>
      <c r="E254" s="7">
        <v>0.011</v>
      </c>
      <c r="F254" s="7">
        <v>-0.053</v>
      </c>
      <c r="G254" s="7">
        <v>0.045</v>
      </c>
      <c r="H254" s="7">
        <v>-0.048</v>
      </c>
      <c r="I254" s="7">
        <v>-0.023</v>
      </c>
      <c r="J254" s="7">
        <v>-0.056</v>
      </c>
      <c r="K254" s="7">
        <v>-0.199</v>
      </c>
      <c r="L254" s="42">
        <v>-0.032</v>
      </c>
      <c r="M254" s="7">
        <v>0.011</v>
      </c>
      <c r="N254" s="7">
        <v>0.057</v>
      </c>
      <c r="O254" s="7">
        <v>0.053</v>
      </c>
    </row>
    <row r="255" spans="1:15" ht="12.75">
      <c r="A255" s="1" t="s">
        <v>33</v>
      </c>
      <c r="B255" s="1" t="s">
        <v>49</v>
      </c>
      <c r="C255" s="29">
        <v>2511626</v>
      </c>
      <c r="D255" s="7">
        <v>0</v>
      </c>
      <c r="E255" s="7">
        <v>0.052</v>
      </c>
      <c r="F255" s="7">
        <v>0.007</v>
      </c>
      <c r="G255" s="7">
        <v>0.049</v>
      </c>
      <c r="H255" s="7">
        <v>0.019</v>
      </c>
      <c r="I255" s="7">
        <v>0.057</v>
      </c>
      <c r="J255" s="7">
        <v>0.087</v>
      </c>
      <c r="K255" s="7">
        <v>0.009</v>
      </c>
      <c r="L255" s="42">
        <v>0.032</v>
      </c>
      <c r="M255" s="7">
        <v>-0.069</v>
      </c>
      <c r="N255" s="7">
        <v>-0.126</v>
      </c>
      <c r="O255" s="7">
        <v>-0.031</v>
      </c>
    </row>
    <row r="256" spans="1:15" ht="12.75">
      <c r="A256" s="1" t="s">
        <v>33</v>
      </c>
      <c r="B256" s="1" t="s">
        <v>51</v>
      </c>
      <c r="C256" s="29">
        <v>1349333</v>
      </c>
      <c r="D256" s="7">
        <v>-0.499</v>
      </c>
      <c r="E256" s="7">
        <v>-0.478</v>
      </c>
      <c r="F256" s="7">
        <v>-0.248</v>
      </c>
      <c r="G256" s="7">
        <v>0.265</v>
      </c>
      <c r="H256" s="7">
        <v>-0.019</v>
      </c>
      <c r="I256" s="7">
        <v>-0.006</v>
      </c>
      <c r="J256" s="7">
        <v>-0.052</v>
      </c>
      <c r="K256" s="7">
        <v>-0.035</v>
      </c>
      <c r="L256" s="42">
        <v>0</v>
      </c>
      <c r="M256" s="7">
        <v>-0.104</v>
      </c>
      <c r="N256" s="7">
        <v>-0.027</v>
      </c>
      <c r="O256" s="7">
        <v>-0.011</v>
      </c>
    </row>
    <row r="257" spans="1:15" s="1" customFormat="1" ht="12.75">
      <c r="A257" s="1" t="s">
        <v>33</v>
      </c>
      <c r="B257" s="1" t="s">
        <v>36</v>
      </c>
      <c r="C257" s="29">
        <v>21117270</v>
      </c>
      <c r="D257" s="7">
        <v>-0.022</v>
      </c>
      <c r="E257" s="7">
        <v>-0.065</v>
      </c>
      <c r="F257" s="7">
        <v>-0.066</v>
      </c>
      <c r="G257" s="7">
        <v>0.236</v>
      </c>
      <c r="H257" s="7">
        <v>0.068</v>
      </c>
      <c r="I257" s="7">
        <v>0.119</v>
      </c>
      <c r="J257" s="7">
        <v>0.118</v>
      </c>
      <c r="K257" s="7">
        <v>0.081</v>
      </c>
      <c r="L257" s="42">
        <v>0.118</v>
      </c>
      <c r="M257" s="7">
        <v>0.081</v>
      </c>
      <c r="N257" s="7">
        <v>-0.069</v>
      </c>
      <c r="O257" s="7">
        <v>-0.079</v>
      </c>
    </row>
    <row r="258" spans="1:15" ht="12.75">
      <c r="A258" s="1" t="s">
        <v>33</v>
      </c>
      <c r="B258" s="1" t="s">
        <v>62</v>
      </c>
      <c r="C258" s="29">
        <v>291264</v>
      </c>
      <c r="D258" s="7">
        <v>-0.163</v>
      </c>
      <c r="E258" s="7">
        <v>-0.175</v>
      </c>
      <c r="F258" s="7">
        <v>-0.13</v>
      </c>
      <c r="G258" s="7">
        <v>-0.152</v>
      </c>
      <c r="H258" s="7">
        <v>-0.044</v>
      </c>
      <c r="I258" s="7">
        <v>-0.223</v>
      </c>
      <c r="J258" s="7">
        <v>-0.249</v>
      </c>
      <c r="K258" s="7">
        <v>-0.235</v>
      </c>
      <c r="L258" s="42">
        <v>-0.214</v>
      </c>
      <c r="M258" s="7">
        <v>-0.272</v>
      </c>
      <c r="N258" s="7">
        <v>-0.144</v>
      </c>
      <c r="O258" s="7">
        <v>-0.131</v>
      </c>
    </row>
    <row r="259" spans="1:15" ht="12.75">
      <c r="A259" s="1" t="s">
        <v>33</v>
      </c>
      <c r="B259" s="1" t="s">
        <v>56</v>
      </c>
      <c r="C259" s="29">
        <v>1421341</v>
      </c>
      <c r="D259" s="7">
        <v>-0.234</v>
      </c>
      <c r="E259" s="7">
        <v>-0.249</v>
      </c>
      <c r="F259" s="7">
        <v>-0.059</v>
      </c>
      <c r="G259" s="7">
        <v>0.771</v>
      </c>
      <c r="H259" s="7">
        <v>0.037</v>
      </c>
      <c r="I259" s="7">
        <v>-0.054</v>
      </c>
      <c r="J259" s="7">
        <v>-0.032</v>
      </c>
      <c r="K259" s="7">
        <v>-0.055</v>
      </c>
      <c r="L259" s="42">
        <v>-0.008</v>
      </c>
      <c r="M259" s="7">
        <v>-0.098</v>
      </c>
      <c r="N259" s="7">
        <v>-0.931</v>
      </c>
      <c r="O259" s="7">
        <v>-0.979</v>
      </c>
    </row>
    <row r="260" spans="1:15" ht="12.75">
      <c r="A260" s="1" t="s">
        <v>33</v>
      </c>
      <c r="B260" s="1" t="s">
        <v>63</v>
      </c>
      <c r="C260" s="29">
        <v>286059</v>
      </c>
      <c r="D260" s="7">
        <v>-0.037</v>
      </c>
      <c r="E260" s="7">
        <v>-0.117</v>
      </c>
      <c r="F260" s="7">
        <v>-0.14</v>
      </c>
      <c r="G260" s="7">
        <v>-0.18</v>
      </c>
      <c r="H260" s="7">
        <v>-0.057</v>
      </c>
      <c r="I260" s="7">
        <v>-0.14</v>
      </c>
      <c r="J260" s="7">
        <v>-0.147</v>
      </c>
      <c r="K260" s="7">
        <v>-0.158</v>
      </c>
      <c r="L260" s="42">
        <v>-0.11</v>
      </c>
      <c r="M260" s="7">
        <v>-0.199</v>
      </c>
      <c r="N260" s="7">
        <v>-0.142</v>
      </c>
      <c r="O260" s="7">
        <v>-0.142</v>
      </c>
    </row>
    <row r="261" spans="1:15" ht="12.75">
      <c r="A261" s="1" t="s">
        <v>33</v>
      </c>
      <c r="B261" s="1" t="s">
        <v>59</v>
      </c>
      <c r="C261" s="29">
        <v>918470</v>
      </c>
      <c r="D261" s="7">
        <v>0.047</v>
      </c>
      <c r="E261" s="7">
        <v>0.079</v>
      </c>
      <c r="F261" s="7">
        <v>0.179</v>
      </c>
      <c r="G261" s="7">
        <v>0.466</v>
      </c>
      <c r="H261" s="7">
        <v>0.344</v>
      </c>
      <c r="I261" s="7">
        <v>0.259</v>
      </c>
      <c r="J261" s="7">
        <v>0.201</v>
      </c>
      <c r="K261" s="7">
        <v>0.157</v>
      </c>
      <c r="L261" s="42">
        <v>0.157</v>
      </c>
      <c r="M261" s="7">
        <v>0.124</v>
      </c>
      <c r="N261" s="7">
        <v>0.237</v>
      </c>
      <c r="O261" s="7">
        <v>0.366</v>
      </c>
    </row>
    <row r="262" spans="1:15" ht="12.75">
      <c r="A262" s="1" t="s">
        <v>33</v>
      </c>
      <c r="B262" s="1" t="s">
        <v>50</v>
      </c>
      <c r="C262" s="29">
        <v>2172869</v>
      </c>
      <c r="D262" s="7">
        <v>0.2</v>
      </c>
      <c r="E262" s="7">
        <v>0.07</v>
      </c>
      <c r="F262" s="7">
        <v>0.154</v>
      </c>
      <c r="G262" s="7">
        <v>0.329</v>
      </c>
      <c r="H262" s="7">
        <v>0.259</v>
      </c>
      <c r="I262" s="7">
        <v>0.185</v>
      </c>
      <c r="J262" s="7">
        <v>0.155</v>
      </c>
      <c r="K262" s="7">
        <v>0.123</v>
      </c>
      <c r="L262" s="42">
        <v>0.148</v>
      </c>
      <c r="M262" s="7">
        <v>0.06</v>
      </c>
      <c r="N262" s="7">
        <v>-0.035</v>
      </c>
      <c r="O262" s="7">
        <v>-0.024</v>
      </c>
    </row>
    <row r="263" spans="1:15" ht="12.75">
      <c r="A263" s="1" t="s">
        <v>33</v>
      </c>
      <c r="B263" s="1" t="s">
        <v>46</v>
      </c>
      <c r="C263" s="29">
        <v>4224718</v>
      </c>
      <c r="D263" s="7">
        <v>0.247</v>
      </c>
      <c r="E263" s="7">
        <v>0.201</v>
      </c>
      <c r="F263" s="7">
        <v>0.224</v>
      </c>
      <c r="G263" s="7">
        <v>0.219</v>
      </c>
      <c r="H263" s="7">
        <v>0.22</v>
      </c>
      <c r="I263" s="7">
        <v>0.181</v>
      </c>
      <c r="J263" s="7">
        <v>0.236</v>
      </c>
      <c r="K263" s="7">
        <v>0.179</v>
      </c>
      <c r="L263" s="42">
        <v>0.249</v>
      </c>
      <c r="M263" s="7">
        <v>0.17</v>
      </c>
      <c r="N263" s="7">
        <v>-0.044</v>
      </c>
      <c r="O263" s="7">
        <v>0.006</v>
      </c>
    </row>
    <row r="264" spans="1:15" ht="12.75">
      <c r="A264" s="1" t="s">
        <v>33</v>
      </c>
      <c r="B264" s="1" t="s">
        <v>48</v>
      </c>
      <c r="C264" s="29">
        <v>4051155</v>
      </c>
      <c r="D264" s="7">
        <v>0.011</v>
      </c>
      <c r="E264" s="7">
        <v>0.028</v>
      </c>
      <c r="F264" s="7">
        <v>0.004</v>
      </c>
      <c r="G264" s="7">
        <v>0.023</v>
      </c>
      <c r="H264" s="7">
        <v>-0.039</v>
      </c>
      <c r="I264" s="7">
        <v>-0.028</v>
      </c>
      <c r="J264" s="7">
        <v>0.009</v>
      </c>
      <c r="K264" s="7">
        <v>0.069</v>
      </c>
      <c r="L264" s="42">
        <v>0.061</v>
      </c>
      <c r="M264" s="7">
        <v>-0.075</v>
      </c>
      <c r="N264" s="7">
        <v>0.031</v>
      </c>
      <c r="O264" s="7">
        <v>0.045</v>
      </c>
    </row>
    <row r="265" spans="1:15" ht="12.75">
      <c r="A265" s="1" t="s">
        <v>33</v>
      </c>
      <c r="B265" s="1" t="s">
        <v>40</v>
      </c>
      <c r="C265" s="29">
        <v>7359150</v>
      </c>
      <c r="D265" s="7">
        <v>0.044</v>
      </c>
      <c r="E265" s="7">
        <v>0.122</v>
      </c>
      <c r="F265" s="7">
        <v>0.176</v>
      </c>
      <c r="G265" s="7">
        <v>0.493</v>
      </c>
      <c r="H265" s="7">
        <v>0.221</v>
      </c>
      <c r="I265" s="7">
        <v>0.151</v>
      </c>
      <c r="J265" s="7">
        <v>0.178</v>
      </c>
      <c r="K265" s="7">
        <v>0.131</v>
      </c>
      <c r="L265" s="42">
        <v>0.238</v>
      </c>
      <c r="M265" s="7">
        <v>0.144</v>
      </c>
      <c r="N265" s="7">
        <v>0.128</v>
      </c>
      <c r="O265" s="7">
        <v>0.165</v>
      </c>
    </row>
    <row r="266" spans="1:15" ht="12.75">
      <c r="A266" s="1" t="s">
        <v>33</v>
      </c>
      <c r="B266" s="1" t="s">
        <v>41</v>
      </c>
      <c r="C266" s="29">
        <v>4934272</v>
      </c>
      <c r="D266" s="7">
        <v>0.138</v>
      </c>
      <c r="E266" s="7">
        <v>0.073</v>
      </c>
      <c r="F266" s="7">
        <v>0.079</v>
      </c>
      <c r="G266" s="7">
        <v>0.083</v>
      </c>
      <c r="H266" s="7">
        <v>0.005</v>
      </c>
      <c r="I266" s="7">
        <v>-0.013</v>
      </c>
      <c r="J266" s="7">
        <v>0.023</v>
      </c>
      <c r="K266" s="7">
        <v>0.001</v>
      </c>
      <c r="L266" s="42">
        <v>0.003</v>
      </c>
      <c r="M266" s="7">
        <v>-0.019</v>
      </c>
      <c r="N266" s="7">
        <v>-0.174</v>
      </c>
      <c r="O266" s="7">
        <v>-0.046</v>
      </c>
    </row>
    <row r="267" spans="1:15" ht="12.75">
      <c r="A267" s="1" t="s">
        <v>33</v>
      </c>
      <c r="B267" s="1" t="s">
        <v>60</v>
      </c>
      <c r="C267" s="29">
        <v>392683</v>
      </c>
      <c r="D267" s="7">
        <v>0.182</v>
      </c>
      <c r="E267" s="7">
        <v>0.297</v>
      </c>
      <c r="F267" s="7">
        <v>0.304</v>
      </c>
      <c r="G267" s="7">
        <v>0.312</v>
      </c>
      <c r="H267" s="7">
        <v>0.226</v>
      </c>
      <c r="I267" s="7">
        <v>0.17</v>
      </c>
      <c r="J267" s="7">
        <v>0.099</v>
      </c>
      <c r="K267" s="7">
        <v>0.057</v>
      </c>
      <c r="L267" s="42">
        <v>0.091</v>
      </c>
      <c r="M267" s="7">
        <v>0</v>
      </c>
      <c r="N267" s="7">
        <v>0.288</v>
      </c>
      <c r="O267" s="7">
        <v>0.453</v>
      </c>
    </row>
    <row r="268" spans="1:15" ht="12.75">
      <c r="A268" s="1" t="s">
        <v>33</v>
      </c>
      <c r="B268" s="1" t="s">
        <v>55</v>
      </c>
      <c r="C268" s="29">
        <v>1093571</v>
      </c>
      <c r="D268" s="7">
        <v>-0.002</v>
      </c>
      <c r="E268" s="7">
        <v>-0.039</v>
      </c>
      <c r="F268" s="7">
        <v>-0.052</v>
      </c>
      <c r="G268" s="7">
        <v>0.003</v>
      </c>
      <c r="H268" s="7">
        <v>0.015</v>
      </c>
      <c r="I268" s="7">
        <v>-0.085</v>
      </c>
      <c r="J268" s="7">
        <v>-0.135</v>
      </c>
      <c r="K268" s="7">
        <v>-0.177</v>
      </c>
      <c r="L268" s="42">
        <v>-0.183</v>
      </c>
      <c r="M268" s="7">
        <v>-0.211</v>
      </c>
      <c r="N268" s="7">
        <v>-0.201</v>
      </c>
      <c r="O268" s="7">
        <v>-0.145</v>
      </c>
    </row>
    <row r="269" spans="1:15" ht="12.75">
      <c r="A269" s="1" t="s">
        <v>33</v>
      </c>
      <c r="B269" s="1" t="s">
        <v>61</v>
      </c>
      <c r="C269" s="29">
        <v>605912</v>
      </c>
      <c r="D269" s="7">
        <v>0.502</v>
      </c>
      <c r="E269" s="7">
        <v>0.568</v>
      </c>
      <c r="F269" s="7">
        <v>0.487</v>
      </c>
      <c r="G269" s="7">
        <v>0.795</v>
      </c>
      <c r="H269" s="7">
        <v>0.539</v>
      </c>
      <c r="I269" s="7">
        <v>0.351</v>
      </c>
      <c r="J269" s="7">
        <v>0.073</v>
      </c>
      <c r="K269" s="7">
        <v>0.028</v>
      </c>
      <c r="L269" s="42">
        <v>0.145</v>
      </c>
      <c r="M269" s="7">
        <v>0.155</v>
      </c>
      <c r="N269" s="7">
        <v>-0.112</v>
      </c>
      <c r="O269" s="7">
        <v>0.017</v>
      </c>
    </row>
    <row r="270" spans="1:15" ht="12.75">
      <c r="A270" s="1" t="s">
        <v>165</v>
      </c>
      <c r="B270" s="6" t="s">
        <v>332</v>
      </c>
      <c r="C270" s="29">
        <v>28484333</v>
      </c>
      <c r="D270" s="7">
        <v>0.15</v>
      </c>
      <c r="E270" s="7">
        <v>0.09</v>
      </c>
      <c r="F270" s="7">
        <v>0.07</v>
      </c>
      <c r="G270" s="7">
        <v>0.53</v>
      </c>
      <c r="H270" s="7">
        <v>0.17</v>
      </c>
      <c r="I270" s="7">
        <v>0.1</v>
      </c>
      <c r="J270" s="7">
        <v>0.15</v>
      </c>
      <c r="K270" s="7">
        <v>0.09</v>
      </c>
      <c r="L270" s="42">
        <v>0.09</v>
      </c>
      <c r="M270" s="7">
        <v>0.09</v>
      </c>
      <c r="N270" s="7">
        <v>0.09</v>
      </c>
      <c r="O270" s="7">
        <v>0.09</v>
      </c>
    </row>
    <row r="271" spans="1:15" ht="12.75">
      <c r="A271" s="1" t="s">
        <v>165</v>
      </c>
      <c r="B271" s="6" t="s">
        <v>190</v>
      </c>
      <c r="C271" s="29">
        <v>375694</v>
      </c>
      <c r="D271" s="7">
        <v>0.025143736334925837</v>
      </c>
      <c r="E271" s="7">
        <v>0.05371357375233621</v>
      </c>
      <c r="F271" s="7">
        <v>0.01927151938606042</v>
      </c>
      <c r="G271" s="7">
        <v>0.42519799111454515</v>
      </c>
      <c r="H271" s="7">
        <v>0.22881793602090106</v>
      </c>
      <c r="I271" s="7">
        <v>0.04038050244198299</v>
      </c>
      <c r="J271" s="7">
        <v>0.09588172341353207</v>
      </c>
      <c r="K271" s="7">
        <v>0.051347635642804645</v>
      </c>
      <c r="L271" s="42">
        <v>-0.04403717764105253</v>
      </c>
      <c r="M271" s="7">
        <v>0.002</v>
      </c>
      <c r="N271" s="7">
        <v>-0.038</v>
      </c>
      <c r="O271" s="7">
        <v>-0.012</v>
      </c>
    </row>
    <row r="272" spans="1:15" ht="12.75">
      <c r="A272" s="1" t="s">
        <v>165</v>
      </c>
      <c r="B272" s="6" t="s">
        <v>323</v>
      </c>
      <c r="C272" s="29">
        <v>713018</v>
      </c>
      <c r="D272" s="7">
        <v>0.025</v>
      </c>
      <c r="E272" s="7">
        <v>0.194</v>
      </c>
      <c r="F272" s="7">
        <v>0.168</v>
      </c>
      <c r="G272" s="7">
        <v>0.614</v>
      </c>
      <c r="H272" s="7">
        <v>0.126</v>
      </c>
      <c r="I272" s="7">
        <v>0.13858024245401612</v>
      </c>
      <c r="J272" s="7">
        <v>0.05563900810681921</v>
      </c>
      <c r="K272" s="7">
        <v>0.01834484180150464</v>
      </c>
      <c r="L272" s="42">
        <v>0.005347042187131779</v>
      </c>
      <c r="M272" s="7">
        <v>-0.018</v>
      </c>
      <c r="N272" s="7">
        <v>-0.147</v>
      </c>
      <c r="O272" s="7">
        <v>-0.031</v>
      </c>
    </row>
    <row r="273" spans="1:15" s="1" customFormat="1" ht="12.75">
      <c r="A273" s="1" t="s">
        <v>165</v>
      </c>
      <c r="B273" s="6" t="s">
        <v>179</v>
      </c>
      <c r="C273" s="29">
        <v>4133874</v>
      </c>
      <c r="D273" s="7">
        <v>0.21</v>
      </c>
      <c r="E273" s="7">
        <v>0.16</v>
      </c>
      <c r="F273" s="7">
        <v>0.12</v>
      </c>
      <c r="G273" s="7">
        <v>0.68</v>
      </c>
      <c r="H273" s="7">
        <v>0.24</v>
      </c>
      <c r="I273" s="7">
        <v>0.17</v>
      </c>
      <c r="J273" s="7">
        <v>0.21</v>
      </c>
      <c r="K273" s="7">
        <v>0.13</v>
      </c>
      <c r="L273" s="42">
        <v>0.17</v>
      </c>
      <c r="M273" s="7">
        <v>0.09</v>
      </c>
      <c r="N273" s="7">
        <v>0.13</v>
      </c>
      <c r="O273" s="7">
        <v>0.12</v>
      </c>
    </row>
    <row r="274" spans="1:15" ht="12.75">
      <c r="A274" s="1" t="s">
        <v>165</v>
      </c>
      <c r="B274" s="6" t="s">
        <v>180</v>
      </c>
      <c r="C274" s="29">
        <v>199695</v>
      </c>
      <c r="D274" s="7">
        <v>-0.19</v>
      </c>
      <c r="E274" s="7">
        <v>-0.22</v>
      </c>
      <c r="F274" s="7">
        <v>-0.29</v>
      </c>
      <c r="G274" s="7">
        <v>0.08</v>
      </c>
      <c r="H274" s="7">
        <v>-0.15</v>
      </c>
      <c r="I274" s="7">
        <v>-0.24</v>
      </c>
      <c r="J274" s="7">
        <v>-0.25</v>
      </c>
      <c r="K274" s="7">
        <v>-0.25</v>
      </c>
      <c r="L274" s="42">
        <v>-0.2</v>
      </c>
      <c r="M274" s="7">
        <v>-0.06</v>
      </c>
      <c r="N274" s="7">
        <v>-0.06</v>
      </c>
      <c r="O274" s="7">
        <v>-0.1</v>
      </c>
    </row>
    <row r="275" spans="1:15" ht="12.75">
      <c r="A275" s="1" t="s">
        <v>165</v>
      </c>
      <c r="B275" s="6" t="s">
        <v>181</v>
      </c>
      <c r="C275" s="29">
        <v>983154</v>
      </c>
      <c r="D275" s="7">
        <v>0.07</v>
      </c>
      <c r="E275" s="7">
        <v>0.06</v>
      </c>
      <c r="F275" s="7">
        <v>0.05</v>
      </c>
      <c r="G275" s="7">
        <v>0.46</v>
      </c>
      <c r="H275" s="7">
        <v>0.09</v>
      </c>
      <c r="I275" s="7">
        <v>0.07</v>
      </c>
      <c r="J275" s="7">
        <v>0.01</v>
      </c>
      <c r="K275" s="7">
        <v>0.04</v>
      </c>
      <c r="L275" s="42">
        <v>0.05</v>
      </c>
      <c r="M275" s="7">
        <v>0.07</v>
      </c>
      <c r="N275" s="7">
        <v>0.05</v>
      </c>
      <c r="O275" s="7">
        <v>0.1</v>
      </c>
    </row>
    <row r="276" spans="1:15" ht="12.75">
      <c r="A276" s="1" t="s">
        <v>165</v>
      </c>
      <c r="B276" s="6" t="s">
        <v>182</v>
      </c>
      <c r="C276" s="29">
        <v>1598758</v>
      </c>
      <c r="D276" s="7">
        <v>0.19</v>
      </c>
      <c r="E276" s="7">
        <v>0.09</v>
      </c>
      <c r="F276" s="7">
        <v>0.08</v>
      </c>
      <c r="G276" s="7">
        <v>0.7</v>
      </c>
      <c r="H276" s="7">
        <v>0.24</v>
      </c>
      <c r="I276" s="7">
        <v>0.12</v>
      </c>
      <c r="J276" s="7">
        <v>0.31</v>
      </c>
      <c r="K276" s="7">
        <v>0.24</v>
      </c>
      <c r="L276" s="42">
        <v>0.22</v>
      </c>
      <c r="M276" s="7">
        <v>0.2</v>
      </c>
      <c r="N276" s="7">
        <v>0.2</v>
      </c>
      <c r="O276" s="7">
        <v>0.18</v>
      </c>
    </row>
    <row r="277" spans="1:15" ht="12.75">
      <c r="A277" s="1" t="s">
        <v>165</v>
      </c>
      <c r="B277" s="6" t="s">
        <v>189</v>
      </c>
      <c r="C277" s="29">
        <v>356093</v>
      </c>
      <c r="D277" s="7">
        <v>0.03</v>
      </c>
      <c r="E277" s="7">
        <v>-0.03</v>
      </c>
      <c r="F277" s="7">
        <v>-0.06</v>
      </c>
      <c r="G277" s="7">
        <v>0.52</v>
      </c>
      <c r="H277" s="7">
        <v>0.09</v>
      </c>
      <c r="I277" s="7">
        <v>-0.02</v>
      </c>
      <c r="J277" s="7">
        <v>0.08</v>
      </c>
      <c r="K277" s="7">
        <v>-0.01</v>
      </c>
      <c r="L277" s="42">
        <v>0.07</v>
      </c>
      <c r="M277" s="7">
        <v>0.05</v>
      </c>
      <c r="N277" s="7">
        <v>0.08</v>
      </c>
      <c r="O277" s="7">
        <v>0.1</v>
      </c>
    </row>
    <row r="278" spans="1:15" ht="12.75">
      <c r="A278" s="1" t="s">
        <v>165</v>
      </c>
      <c r="B278" s="6" t="s">
        <v>183</v>
      </c>
      <c r="C278" s="29">
        <v>208200</v>
      </c>
      <c r="D278" s="7">
        <v>0.18</v>
      </c>
      <c r="E278" s="7">
        <v>-0.01</v>
      </c>
      <c r="F278" s="7">
        <v>0.04</v>
      </c>
      <c r="G278" s="7">
        <v>0.52</v>
      </c>
      <c r="H278" s="7">
        <v>0.22</v>
      </c>
      <c r="I278" s="7">
        <v>0.03</v>
      </c>
      <c r="J278" s="7">
        <v>-0.05</v>
      </c>
      <c r="K278" s="7">
        <v>0.04</v>
      </c>
      <c r="L278" s="42">
        <v>0.05</v>
      </c>
      <c r="M278" s="7">
        <v>0.06</v>
      </c>
      <c r="N278" s="7">
        <v>0.05</v>
      </c>
      <c r="O278" s="7">
        <v>0.04</v>
      </c>
    </row>
    <row r="279" spans="1:15" ht="12.75">
      <c r="A279" s="1" t="s">
        <v>165</v>
      </c>
      <c r="B279" s="6" t="s">
        <v>184</v>
      </c>
      <c r="C279" s="29">
        <v>224477</v>
      </c>
      <c r="D279" s="7">
        <v>0.097</v>
      </c>
      <c r="E279" s="7">
        <v>0.015</v>
      </c>
      <c r="F279" s="7">
        <v>0.042</v>
      </c>
      <c r="G279" s="7">
        <v>0.714</v>
      </c>
      <c r="H279" s="7">
        <v>0.199</v>
      </c>
      <c r="I279" s="7">
        <v>0.18879977618203858</v>
      </c>
      <c r="J279" s="7">
        <v>0.5177988614800759</v>
      </c>
      <c r="K279" s="7">
        <v>0.36793128131710806</v>
      </c>
      <c r="L279" s="42">
        <v>0.36692781975800837</v>
      </c>
      <c r="M279" s="7">
        <v>0.255</v>
      </c>
      <c r="N279" s="34">
        <v>0.149</v>
      </c>
      <c r="O279" s="34">
        <v>0.154</v>
      </c>
    </row>
    <row r="280" spans="1:15" ht="12.75">
      <c r="A280" s="1" t="s">
        <v>165</v>
      </c>
      <c r="B280" s="6" t="s">
        <v>166</v>
      </c>
      <c r="C280" s="29">
        <v>16964396</v>
      </c>
      <c r="D280" s="7">
        <v>0.15</v>
      </c>
      <c r="E280" s="7">
        <v>0.11</v>
      </c>
      <c r="F280" s="7">
        <v>0.08</v>
      </c>
      <c r="G280" s="7">
        <v>0.49</v>
      </c>
      <c r="H280" s="7">
        <v>0.15</v>
      </c>
      <c r="I280" s="7">
        <v>0.1</v>
      </c>
      <c r="J280" s="7">
        <v>0.13</v>
      </c>
      <c r="K280" s="7">
        <v>0.07</v>
      </c>
      <c r="L280" s="42">
        <v>0.07</v>
      </c>
      <c r="M280" s="7">
        <v>0.09</v>
      </c>
      <c r="N280" s="7">
        <v>0.08</v>
      </c>
      <c r="O280" s="7">
        <v>0.09</v>
      </c>
    </row>
    <row r="281" spans="1:15" ht="12.75">
      <c r="A281" s="1" t="s">
        <v>165</v>
      </c>
      <c r="B281" s="6" t="s">
        <v>185</v>
      </c>
      <c r="C281" s="29">
        <v>2040097</v>
      </c>
      <c r="D281" s="7">
        <v>0.09</v>
      </c>
      <c r="E281" s="7">
        <v>0.01</v>
      </c>
      <c r="F281" s="7">
        <v>-0.03</v>
      </c>
      <c r="G281" s="7">
        <v>0.47</v>
      </c>
      <c r="H281" s="7">
        <v>0.19</v>
      </c>
      <c r="I281" s="7">
        <v>-0.01</v>
      </c>
      <c r="J281" s="7">
        <v>0.15</v>
      </c>
      <c r="K281" s="7">
        <v>0.11</v>
      </c>
      <c r="L281" s="42">
        <v>0.01</v>
      </c>
      <c r="M281" s="7">
        <v>0</v>
      </c>
      <c r="N281" s="7">
        <v>0.03</v>
      </c>
      <c r="O281" s="7">
        <v>0.04</v>
      </c>
    </row>
    <row r="282" spans="1:15" ht="12.75">
      <c r="A282" s="1" t="s">
        <v>165</v>
      </c>
      <c r="B282" s="6" t="s">
        <v>191</v>
      </c>
      <c r="C282" s="29">
        <v>2489975</v>
      </c>
      <c r="D282" s="7">
        <v>-0.172</v>
      </c>
      <c r="E282" s="7">
        <v>-0.15</v>
      </c>
      <c r="F282" s="7">
        <v>-0.101</v>
      </c>
      <c r="G282" s="7">
        <v>0.438</v>
      </c>
      <c r="H282" s="7">
        <v>0.081</v>
      </c>
      <c r="I282" s="7">
        <v>0.089</v>
      </c>
      <c r="J282" s="7">
        <v>0.061</v>
      </c>
      <c r="K282" s="7">
        <v>0.056</v>
      </c>
      <c r="L282" s="42">
        <v>0.083</v>
      </c>
      <c r="M282" s="7">
        <v>0.059</v>
      </c>
      <c r="N282" s="7">
        <v>-0.115</v>
      </c>
      <c r="O282" s="7">
        <v>-0.109</v>
      </c>
    </row>
    <row r="283" spans="1:15" ht="12.75">
      <c r="A283" s="1" t="s">
        <v>165</v>
      </c>
      <c r="B283" s="6" t="s">
        <v>186</v>
      </c>
      <c r="C283" s="29">
        <v>256166</v>
      </c>
      <c r="D283" s="7">
        <v>0.21</v>
      </c>
      <c r="E283" s="7">
        <v>0.08</v>
      </c>
      <c r="F283" s="7">
        <v>-0.02</v>
      </c>
      <c r="G283" s="7">
        <v>0.59</v>
      </c>
      <c r="H283" s="7">
        <v>0.23</v>
      </c>
      <c r="I283" s="7">
        <v>-0.06</v>
      </c>
      <c r="J283" s="7">
        <v>-0.04</v>
      </c>
      <c r="K283" s="7">
        <v>-0.03</v>
      </c>
      <c r="L283" s="42">
        <v>0.05</v>
      </c>
      <c r="M283" s="7">
        <v>0.1</v>
      </c>
      <c r="N283" s="7">
        <v>0.13</v>
      </c>
      <c r="O283" s="7">
        <v>0.11</v>
      </c>
    </row>
    <row r="284" spans="1:15" ht="12.75">
      <c r="A284" s="1" t="s">
        <v>165</v>
      </c>
      <c r="B284" s="6" t="s">
        <v>187</v>
      </c>
      <c r="C284" s="29">
        <v>844097</v>
      </c>
      <c r="D284" s="7">
        <v>0.12</v>
      </c>
      <c r="E284" s="7">
        <v>0.08</v>
      </c>
      <c r="F284" s="7">
        <v>0.06</v>
      </c>
      <c r="G284" s="7">
        <v>0.56</v>
      </c>
      <c r="H284" s="7">
        <v>0.15</v>
      </c>
      <c r="I284" s="7">
        <v>0.11</v>
      </c>
      <c r="J284" s="7">
        <v>0.25</v>
      </c>
      <c r="K284" s="7">
        <v>0.1</v>
      </c>
      <c r="L284" s="42">
        <v>0.06</v>
      </c>
      <c r="M284" s="7">
        <v>0.06</v>
      </c>
      <c r="N284" s="7">
        <v>0.09</v>
      </c>
      <c r="O284" s="7">
        <v>0.12</v>
      </c>
    </row>
    <row r="285" spans="1:15" ht="12.75">
      <c r="A285" s="1" t="s">
        <v>165</v>
      </c>
      <c r="B285" s="6" t="s">
        <v>188</v>
      </c>
      <c r="C285" s="29">
        <v>307899</v>
      </c>
      <c r="D285" s="7">
        <v>0.1</v>
      </c>
      <c r="E285" s="7">
        <v>0.05</v>
      </c>
      <c r="F285" s="7">
        <v>0.04</v>
      </c>
      <c r="G285" s="7">
        <v>0.51</v>
      </c>
      <c r="H285" s="7">
        <v>0.24</v>
      </c>
      <c r="I285" s="7">
        <v>0.26</v>
      </c>
      <c r="J285" s="7">
        <v>0.18</v>
      </c>
      <c r="K285" s="7">
        <v>0.04</v>
      </c>
      <c r="L285" s="42">
        <v>-0.06</v>
      </c>
      <c r="M285" s="7">
        <v>0.04</v>
      </c>
      <c r="N285" s="7">
        <v>-0.01</v>
      </c>
      <c r="O285" s="7">
        <v>-0.04</v>
      </c>
    </row>
    <row r="286" spans="1:15" ht="12.75">
      <c r="A286" s="1" t="s">
        <v>79</v>
      </c>
      <c r="B286" s="1" t="s">
        <v>73</v>
      </c>
      <c r="C286" s="29">
        <v>4129186</v>
      </c>
      <c r="D286" s="7">
        <f>299832/221882-1</f>
        <v>0.3513128599886426</v>
      </c>
      <c r="E286" s="7">
        <f>294421/245002-1</f>
        <v>0.20170855748116345</v>
      </c>
      <c r="F286" s="7">
        <f>367615/292486-1</f>
        <v>0.2568635763763052</v>
      </c>
      <c r="G286" s="7">
        <f>413610/280659-1</f>
        <v>0.4737100894680022</v>
      </c>
      <c r="H286" s="7">
        <f>443943/360374-1</f>
        <v>0.23189519776676448</v>
      </c>
      <c r="I286" s="7">
        <f>483884/385634-1</f>
        <v>0.2547752532193739</v>
      </c>
      <c r="J286" s="7">
        <f>532944/444171-1</f>
        <v>0.19986221522791903</v>
      </c>
      <c r="K286" s="7">
        <f>503479/437646-1</f>
        <v>0.15042522952340476</v>
      </c>
      <c r="L286" s="42">
        <f>490902/424309-1</f>
        <v>0.15694458519616594</v>
      </c>
      <c r="M286" s="7">
        <f>498270/430463-1</f>
        <v>0.15752108775899432</v>
      </c>
      <c r="N286" s="7">
        <f>354119/308109-1</f>
        <v>0.14933026948255335</v>
      </c>
      <c r="O286" s="7">
        <f>368782/296934-1</f>
        <v>0.24196622818538804</v>
      </c>
    </row>
    <row r="287" spans="1:15" ht="12.75">
      <c r="A287" s="1" t="s">
        <v>79</v>
      </c>
      <c r="B287" s="6" t="s">
        <v>218</v>
      </c>
      <c r="C287" s="29">
        <v>11864736</v>
      </c>
      <c r="D287" s="7">
        <v>0.107</v>
      </c>
      <c r="E287" s="7">
        <v>0.085</v>
      </c>
      <c r="F287" s="7">
        <v>0.031</v>
      </c>
      <c r="G287" s="7">
        <v>0.292</v>
      </c>
      <c r="H287" s="7">
        <v>0.124</v>
      </c>
      <c r="I287" s="7">
        <v>0.14</v>
      </c>
      <c r="J287" s="7">
        <v>0.1</v>
      </c>
      <c r="K287" s="7">
        <v>0.066</v>
      </c>
      <c r="L287" s="42">
        <v>0.094</v>
      </c>
      <c r="M287" s="7">
        <v>0.059</v>
      </c>
      <c r="N287" s="7">
        <v>0.033</v>
      </c>
      <c r="O287" s="7">
        <v>0.167</v>
      </c>
    </row>
    <row r="288" spans="1:15" ht="12.75">
      <c r="A288" s="1" t="s">
        <v>79</v>
      </c>
      <c r="B288" s="6" t="s">
        <v>155</v>
      </c>
      <c r="C288" s="29">
        <v>22878251</v>
      </c>
      <c r="D288" s="7">
        <v>0.051</v>
      </c>
      <c r="E288" s="7">
        <v>0.05</v>
      </c>
      <c r="F288" s="7">
        <v>0.035</v>
      </c>
      <c r="G288" s="7">
        <v>0.298</v>
      </c>
      <c r="H288" s="7">
        <v>0.064</v>
      </c>
      <c r="I288" s="7">
        <v>0.067</v>
      </c>
      <c r="J288" s="7">
        <v>0.086</v>
      </c>
      <c r="K288" s="7">
        <v>0.041</v>
      </c>
      <c r="L288" s="42">
        <v>0.04</v>
      </c>
      <c r="M288" s="7">
        <v>0.019</v>
      </c>
      <c r="N288" s="7">
        <v>0.014</v>
      </c>
      <c r="O288" s="7">
        <v>0.042</v>
      </c>
    </row>
    <row r="289" spans="1:15" ht="12.75">
      <c r="A289" s="1" t="s">
        <v>271</v>
      </c>
      <c r="B289" s="1" t="s">
        <v>307</v>
      </c>
      <c r="C289" s="29">
        <v>2841220</v>
      </c>
      <c r="D289" s="7">
        <v>0.084</v>
      </c>
      <c r="E289" s="7">
        <v>0.184</v>
      </c>
      <c r="F289" s="7">
        <v>0.125</v>
      </c>
      <c r="G289" s="7">
        <v>0.145</v>
      </c>
      <c r="H289" s="7">
        <v>0.176</v>
      </c>
      <c r="I289" s="7">
        <v>0.209</v>
      </c>
      <c r="J289" s="7">
        <v>0.189</v>
      </c>
      <c r="K289" s="7">
        <v>0.1</v>
      </c>
      <c r="L289" s="42">
        <v>0.15</v>
      </c>
      <c r="M289" s="7">
        <v>0.175</v>
      </c>
      <c r="N289" s="7">
        <v>0.153</v>
      </c>
      <c r="O289" s="7">
        <v>0.136</v>
      </c>
    </row>
    <row r="290" spans="1:15" ht="12.75">
      <c r="A290" s="1" t="s">
        <v>271</v>
      </c>
      <c r="B290" s="1" t="s">
        <v>66</v>
      </c>
      <c r="C290" s="29">
        <v>102711805</v>
      </c>
      <c r="D290" s="7">
        <v>0.108</v>
      </c>
      <c r="E290" s="7">
        <v>0.175</v>
      </c>
      <c r="F290" s="7">
        <v>0.131</v>
      </c>
      <c r="G290" s="7">
        <v>0.24</v>
      </c>
      <c r="H290" s="7">
        <v>0.15</v>
      </c>
      <c r="I290" s="7">
        <v>0.15</v>
      </c>
      <c r="J290" s="7">
        <v>0.135</v>
      </c>
      <c r="K290" s="7">
        <v>0.075</v>
      </c>
      <c r="L290" s="42">
        <v>0.182</v>
      </c>
      <c r="M290" s="7">
        <v>0.108</v>
      </c>
      <c r="N290" s="7">
        <v>0.151</v>
      </c>
      <c r="O290" s="7">
        <v>0.129</v>
      </c>
    </row>
    <row r="291" spans="1:15" ht="12.75">
      <c r="A291" s="1" t="s">
        <v>271</v>
      </c>
      <c r="B291" s="1" t="s">
        <v>304</v>
      </c>
      <c r="C291" s="29">
        <v>7759479</v>
      </c>
      <c r="D291" s="7">
        <v>0.193</v>
      </c>
      <c r="E291" s="7">
        <v>0.254</v>
      </c>
      <c r="F291" s="7">
        <v>0.174</v>
      </c>
      <c r="G291" s="7">
        <v>0.175</v>
      </c>
      <c r="H291" s="7">
        <v>0.109</v>
      </c>
      <c r="I291" s="7">
        <v>0.102</v>
      </c>
      <c r="J291" s="7">
        <v>0.086</v>
      </c>
      <c r="K291" s="7">
        <v>-0.026</v>
      </c>
      <c r="L291" s="42">
        <v>0.069</v>
      </c>
      <c r="M291" s="7">
        <v>-0.022</v>
      </c>
      <c r="N291" s="7">
        <v>0.067</v>
      </c>
      <c r="O291" s="7">
        <v>0.087</v>
      </c>
    </row>
    <row r="292" spans="1:15" ht="12.75">
      <c r="A292" s="1" t="s">
        <v>271</v>
      </c>
      <c r="B292" s="1" t="s">
        <v>281</v>
      </c>
      <c r="C292" s="29">
        <v>21996601</v>
      </c>
      <c r="D292" s="7">
        <v>0.042</v>
      </c>
      <c r="E292" s="7">
        <v>0.191</v>
      </c>
      <c r="F292" s="7">
        <v>0.202</v>
      </c>
      <c r="G292" s="7">
        <v>0.437</v>
      </c>
      <c r="H292" s="7">
        <v>0.153</v>
      </c>
      <c r="I292" s="7">
        <v>0.114</v>
      </c>
      <c r="J292" s="7">
        <v>0.128</v>
      </c>
      <c r="K292" s="7">
        <v>0.082</v>
      </c>
      <c r="L292" s="42">
        <v>0.157</v>
      </c>
      <c r="M292" s="7">
        <v>0.068</v>
      </c>
      <c r="N292" s="7">
        <v>0.217</v>
      </c>
      <c r="O292" s="7">
        <v>0.164</v>
      </c>
    </row>
    <row r="293" spans="1:15" ht="12.75">
      <c r="A293" s="1" t="s">
        <v>271</v>
      </c>
      <c r="B293" s="1" t="s">
        <v>306</v>
      </c>
      <c r="C293" s="29">
        <v>3071418</v>
      </c>
      <c r="D293" s="7">
        <v>0.065</v>
      </c>
      <c r="E293" s="7">
        <v>0.224</v>
      </c>
      <c r="F293" s="7">
        <v>0.111</v>
      </c>
      <c r="G293" s="7">
        <v>0.288</v>
      </c>
      <c r="H293" s="7">
        <v>0.041</v>
      </c>
      <c r="I293" s="7">
        <v>0.093</v>
      </c>
      <c r="J293" s="7">
        <v>0.089</v>
      </c>
      <c r="K293" s="7">
        <v>0.067</v>
      </c>
      <c r="L293" s="42">
        <v>0.131</v>
      </c>
      <c r="M293" s="7">
        <v>0.062</v>
      </c>
      <c r="N293" s="7">
        <v>0.125</v>
      </c>
      <c r="O293" s="7">
        <v>0.236</v>
      </c>
    </row>
    <row r="294" spans="1:15" ht="12.75">
      <c r="A294" s="1" t="s">
        <v>271</v>
      </c>
      <c r="B294" s="1" t="s">
        <v>305</v>
      </c>
      <c r="C294" s="29">
        <v>3784440</v>
      </c>
      <c r="D294" s="7">
        <v>-0.064</v>
      </c>
      <c r="E294" s="7">
        <v>0.005</v>
      </c>
      <c r="F294" s="7">
        <v>-0.182</v>
      </c>
      <c r="G294" s="7">
        <v>0.444</v>
      </c>
      <c r="H294" s="7">
        <v>-0.071</v>
      </c>
      <c r="I294" s="7">
        <v>-0.024</v>
      </c>
      <c r="J294" s="7">
        <v>-0.028</v>
      </c>
      <c r="K294" s="7">
        <v>-0.032</v>
      </c>
      <c r="L294" s="42">
        <v>0.014</v>
      </c>
      <c r="M294" s="7">
        <v>-0.044</v>
      </c>
      <c r="N294" s="7">
        <v>0.103</v>
      </c>
      <c r="O294" s="7">
        <v>0.208</v>
      </c>
    </row>
    <row r="295" spans="1:15" ht="12.75">
      <c r="A295" s="1" t="s">
        <v>271</v>
      </c>
      <c r="B295" s="1" t="s">
        <v>309</v>
      </c>
      <c r="C295" s="29">
        <v>1404639</v>
      </c>
      <c r="D295" s="7">
        <v>0.094</v>
      </c>
      <c r="E295" s="7">
        <v>0.212</v>
      </c>
      <c r="F295" s="7">
        <v>0.136</v>
      </c>
      <c r="G295" s="7">
        <v>0.157</v>
      </c>
      <c r="H295" s="7">
        <v>0.286</v>
      </c>
      <c r="I295" s="7">
        <v>0.393</v>
      </c>
      <c r="J295" s="7">
        <v>0.282</v>
      </c>
      <c r="K295" s="7">
        <v>0.215</v>
      </c>
      <c r="L295" s="42">
        <v>0.242</v>
      </c>
      <c r="M295" s="7">
        <v>0.185</v>
      </c>
      <c r="N295" s="7">
        <v>0.127</v>
      </c>
      <c r="O295" s="7">
        <v>0.105</v>
      </c>
    </row>
    <row r="296" spans="1:15" ht="12.75">
      <c r="A296" s="1" t="s">
        <v>271</v>
      </c>
      <c r="B296" s="1" t="s">
        <v>311</v>
      </c>
      <c r="C296" s="29">
        <v>1042309</v>
      </c>
      <c r="D296" s="7">
        <v>0.316</v>
      </c>
      <c r="E296" s="7">
        <v>0.317</v>
      </c>
      <c r="F296" s="7">
        <v>0.205</v>
      </c>
      <c r="G296" s="7">
        <v>0.215</v>
      </c>
      <c r="H296" s="7">
        <v>0.236</v>
      </c>
      <c r="I296" s="7">
        <v>0.205</v>
      </c>
      <c r="J296" s="7">
        <v>0.22</v>
      </c>
      <c r="K296" s="7">
        <v>0.191</v>
      </c>
      <c r="L296" s="42">
        <v>0.341</v>
      </c>
      <c r="M296" s="7">
        <v>0.255</v>
      </c>
      <c r="N296" s="7">
        <v>0.32</v>
      </c>
      <c r="O296" s="7">
        <v>0.306</v>
      </c>
    </row>
    <row r="297" spans="1:15" ht="12.75">
      <c r="A297" s="1" t="s">
        <v>271</v>
      </c>
      <c r="B297" s="1" t="s">
        <v>302</v>
      </c>
      <c r="C297" s="29">
        <v>32145619</v>
      </c>
      <c r="D297" s="7">
        <v>0.049</v>
      </c>
      <c r="E297" s="7">
        <v>0.086</v>
      </c>
      <c r="F297" s="7">
        <v>0.066</v>
      </c>
      <c r="G297" s="7">
        <v>0.178</v>
      </c>
      <c r="H297" s="7">
        <v>0.133</v>
      </c>
      <c r="I297" s="7">
        <v>0.175</v>
      </c>
      <c r="J297" s="7">
        <v>0.193</v>
      </c>
      <c r="K297" s="7">
        <v>0.129</v>
      </c>
      <c r="L297" s="42">
        <v>0.318</v>
      </c>
      <c r="M297" s="7">
        <v>0.194</v>
      </c>
      <c r="N297" s="7">
        <v>0.191</v>
      </c>
      <c r="O297" s="7">
        <v>0.218</v>
      </c>
    </row>
    <row r="298" spans="1:15" ht="12.75">
      <c r="A298" s="1" t="s">
        <v>271</v>
      </c>
      <c r="B298" s="1" t="s">
        <v>272</v>
      </c>
      <c r="C298" s="29">
        <v>11129472</v>
      </c>
      <c r="D298" s="7">
        <v>0.273</v>
      </c>
      <c r="E298" s="7">
        <v>0.312</v>
      </c>
      <c r="F298" s="7">
        <v>0.22</v>
      </c>
      <c r="G298" s="7">
        <v>0.227</v>
      </c>
      <c r="H298" s="7">
        <v>0.287</v>
      </c>
      <c r="I298" s="7">
        <v>0.209</v>
      </c>
      <c r="J298" s="7">
        <v>0.102</v>
      </c>
      <c r="K298" s="7">
        <v>0.021</v>
      </c>
      <c r="L298" s="42">
        <v>0.12</v>
      </c>
      <c r="M298" s="7">
        <v>0.069</v>
      </c>
      <c r="N298" s="7">
        <v>0.06</v>
      </c>
      <c r="O298" s="7">
        <v>-0.088</v>
      </c>
    </row>
    <row r="299" spans="1:15" ht="12.75">
      <c r="A299" s="1" t="s">
        <v>271</v>
      </c>
      <c r="B299" s="1" t="s">
        <v>303</v>
      </c>
      <c r="C299" s="29">
        <v>7485067</v>
      </c>
      <c r="D299" s="7">
        <v>0.101</v>
      </c>
      <c r="E299" s="7">
        <v>0.197</v>
      </c>
      <c r="F299" s="7">
        <v>0.141</v>
      </c>
      <c r="G299" s="7">
        <v>0.26</v>
      </c>
      <c r="H299" s="7">
        <v>0.157</v>
      </c>
      <c r="I299" s="7">
        <v>0.195</v>
      </c>
      <c r="J299" s="7">
        <v>0.113</v>
      </c>
      <c r="K299" s="7">
        <v>0.081</v>
      </c>
      <c r="L299" s="42">
        <v>0.137</v>
      </c>
      <c r="M299" s="7">
        <v>0.13</v>
      </c>
      <c r="N299" s="7">
        <v>0.119</v>
      </c>
      <c r="O299" s="7">
        <v>0.102</v>
      </c>
    </row>
    <row r="300" spans="1:15" ht="12.75">
      <c r="A300" s="1" t="s">
        <v>271</v>
      </c>
      <c r="B300" s="1" t="s">
        <v>310</v>
      </c>
      <c r="C300" s="29">
        <v>940184</v>
      </c>
      <c r="D300" s="7">
        <v>0.143</v>
      </c>
      <c r="E300" s="7">
        <v>0.232</v>
      </c>
      <c r="F300" s="7">
        <v>0.213</v>
      </c>
      <c r="G300" s="7">
        <v>0.218</v>
      </c>
      <c r="H300" s="7">
        <v>0.29</v>
      </c>
      <c r="I300" s="7">
        <v>0.262</v>
      </c>
      <c r="J300" s="7">
        <v>0.237</v>
      </c>
      <c r="K300" s="7">
        <v>0.239</v>
      </c>
      <c r="L300" s="42">
        <v>0.288</v>
      </c>
      <c r="M300" s="7">
        <v>0.287</v>
      </c>
      <c r="N300" s="7">
        <v>0.334</v>
      </c>
      <c r="O300" s="7">
        <v>0.193</v>
      </c>
    </row>
    <row r="301" spans="1:15" ht="12.75">
      <c r="A301" s="1" t="s">
        <v>271</v>
      </c>
      <c r="B301" s="1" t="s">
        <v>308</v>
      </c>
      <c r="C301" s="29">
        <v>1963168</v>
      </c>
      <c r="D301" s="7">
        <v>0.15</v>
      </c>
      <c r="E301" s="7">
        <v>0.175</v>
      </c>
      <c r="F301" s="7">
        <v>0.075</v>
      </c>
      <c r="G301" s="7">
        <v>0.154</v>
      </c>
      <c r="H301" s="7">
        <v>0.176</v>
      </c>
      <c r="I301" s="7">
        <v>0.222</v>
      </c>
      <c r="J301" s="7">
        <v>0.223</v>
      </c>
      <c r="K301" s="7">
        <v>0.076</v>
      </c>
      <c r="L301" s="42">
        <v>0.193</v>
      </c>
      <c r="M301" s="7">
        <v>0.111</v>
      </c>
      <c r="N301" s="7">
        <v>0.147</v>
      </c>
      <c r="O301" s="7">
        <v>0.136</v>
      </c>
    </row>
    <row r="302" spans="1:15" ht="12.75">
      <c r="A302" s="1" t="s">
        <v>334</v>
      </c>
      <c r="B302" s="1" t="s">
        <v>341</v>
      </c>
      <c r="C302" s="29">
        <v>341430</v>
      </c>
      <c r="D302" s="7">
        <v>0.28335999224468034</v>
      </c>
      <c r="E302" s="7">
        <v>0.10869798946349851</v>
      </c>
      <c r="F302" s="7">
        <v>0.07678102429415623</v>
      </c>
      <c r="G302" s="7"/>
      <c r="H302" s="7"/>
      <c r="I302" s="7"/>
      <c r="J302" s="7"/>
      <c r="K302" s="7"/>
      <c r="L302" s="42"/>
      <c r="M302" s="7"/>
      <c r="N302" s="7"/>
      <c r="O302" s="7"/>
    </row>
    <row r="303" spans="1:15" ht="12.75">
      <c r="A303" s="1" t="s">
        <v>334</v>
      </c>
      <c r="B303" s="1" t="s">
        <v>344</v>
      </c>
      <c r="C303" s="29">
        <v>612206</v>
      </c>
      <c r="D303" s="7">
        <v>0.2920377867746289</v>
      </c>
      <c r="E303" s="7">
        <v>0.13891182677309843</v>
      </c>
      <c r="F303" s="7">
        <v>0.25046278686446044</v>
      </c>
      <c r="G303" s="7">
        <v>0.3210807414388941</v>
      </c>
      <c r="H303" s="7">
        <v>0.27050223660762995</v>
      </c>
      <c r="I303" s="7">
        <v>0.23398147997989072</v>
      </c>
      <c r="J303" s="7"/>
      <c r="K303" s="7"/>
      <c r="L303" s="42"/>
      <c r="M303" s="7"/>
      <c r="N303" s="7"/>
      <c r="O303" s="7"/>
    </row>
    <row r="304" spans="1:15" ht="12.75">
      <c r="A304" s="1" t="s">
        <v>334</v>
      </c>
      <c r="B304" s="1" t="s">
        <v>345</v>
      </c>
      <c r="C304" s="29">
        <v>243294</v>
      </c>
      <c r="D304" s="7">
        <v>1.0816326530612246</v>
      </c>
      <c r="E304" s="7">
        <v>0.5782367758186397</v>
      </c>
      <c r="F304" s="7">
        <v>0.463644801980198</v>
      </c>
      <c r="G304" s="7">
        <v>0.37637506547930855</v>
      </c>
      <c r="H304" s="7">
        <v>0.08748322384686014</v>
      </c>
      <c r="I304" s="7">
        <v>0.08158974182206746</v>
      </c>
      <c r="J304" s="7"/>
      <c r="K304" s="7"/>
      <c r="L304" s="42"/>
      <c r="M304" s="7"/>
      <c r="N304" s="7"/>
      <c r="O304" s="7"/>
    </row>
    <row r="305" spans="1:15" ht="12.75">
      <c r="A305" s="1" t="s">
        <v>334</v>
      </c>
      <c r="B305" s="1" t="s">
        <v>340</v>
      </c>
      <c r="C305" s="29">
        <v>6692382</v>
      </c>
      <c r="D305" s="7">
        <v>0.25397486120545687</v>
      </c>
      <c r="E305" s="7">
        <v>0.2569116183368285</v>
      </c>
      <c r="F305" s="7">
        <v>0.2548453866900835</v>
      </c>
      <c r="G305" s="7">
        <v>0.30997767878165705</v>
      </c>
      <c r="H305" s="7">
        <v>0.16705871251693427</v>
      </c>
      <c r="I305" s="7">
        <v>0.18371521590341544</v>
      </c>
      <c r="J305" s="7">
        <v>0.198</v>
      </c>
      <c r="K305" s="7">
        <v>0.168</v>
      </c>
      <c r="L305" s="42">
        <v>0.177</v>
      </c>
      <c r="M305" s="7">
        <v>0.201</v>
      </c>
      <c r="N305" s="7"/>
      <c r="O305" s="7">
        <v>0.166</v>
      </c>
    </row>
    <row r="306" spans="1:15" ht="12.75">
      <c r="A306" s="1" t="s">
        <v>334</v>
      </c>
      <c r="B306" s="1" t="s">
        <v>346</v>
      </c>
      <c r="C306" s="29">
        <v>481934</v>
      </c>
      <c r="D306" s="7">
        <v>0.09807938540332906</v>
      </c>
      <c r="E306" s="7">
        <v>-0.01512805768124914</v>
      </c>
      <c r="F306" s="7">
        <v>-0.07576480957802345</v>
      </c>
      <c r="G306" s="7"/>
      <c r="H306" s="7"/>
      <c r="I306" s="7"/>
      <c r="J306" s="7"/>
      <c r="K306" s="7"/>
      <c r="L306" s="42"/>
      <c r="M306" s="7"/>
      <c r="N306" s="7"/>
      <c r="O306" s="7"/>
    </row>
    <row r="307" spans="1:15" ht="12.75">
      <c r="A307" s="1" t="s">
        <v>334</v>
      </c>
      <c r="B307" s="1" t="s">
        <v>342</v>
      </c>
      <c r="C307" s="29">
        <v>707140</v>
      </c>
      <c r="D307" s="7">
        <v>0.08129619101762375</v>
      </c>
      <c r="E307" s="7">
        <v>0.023425271225778532</v>
      </c>
      <c r="F307" s="7">
        <v>0.012773116684745345</v>
      </c>
      <c r="G307" s="7">
        <v>0.21429824946255427</v>
      </c>
      <c r="H307" s="7">
        <v>0.0762484390026843</v>
      </c>
      <c r="I307" s="7">
        <v>0.14579526563809475</v>
      </c>
      <c r="J307" s="7"/>
      <c r="K307" s="7"/>
      <c r="L307" s="42"/>
      <c r="M307" s="7"/>
      <c r="N307" s="7"/>
      <c r="O307" s="7"/>
    </row>
    <row r="308" spans="1:15" ht="12.75">
      <c r="A308" s="1" t="s">
        <v>334</v>
      </c>
      <c r="B308" s="1" t="s">
        <v>343</v>
      </c>
      <c r="C308" s="29">
        <v>841185</v>
      </c>
      <c r="D308" s="7">
        <v>0.03406690740614571</v>
      </c>
      <c r="E308" s="7">
        <v>0.05008780332056184</v>
      </c>
      <c r="F308" s="7">
        <v>0.05542484438752715</v>
      </c>
      <c r="G308" s="7">
        <v>0.1617374328940946</v>
      </c>
      <c r="H308" s="7">
        <v>0.08502261155561186</v>
      </c>
      <c r="I308" s="7">
        <v>0.1491860939144285</v>
      </c>
      <c r="J308" s="7"/>
      <c r="K308" s="7"/>
      <c r="L308" s="42"/>
      <c r="M308" s="7"/>
      <c r="N308" s="7"/>
      <c r="O308" s="7"/>
    </row>
    <row r="309" spans="1:15" ht="12.75">
      <c r="A309" s="1" t="s">
        <v>113</v>
      </c>
      <c r="B309" s="6" t="s">
        <v>115</v>
      </c>
      <c r="C309" s="29">
        <v>2766389</v>
      </c>
      <c r="D309" s="7">
        <v>0.092</v>
      </c>
      <c r="E309" s="7">
        <v>0.049</v>
      </c>
      <c r="F309" s="7">
        <v>0.086</v>
      </c>
      <c r="G309" s="7">
        <v>0.333</v>
      </c>
      <c r="H309" s="7">
        <v>0.119</v>
      </c>
      <c r="I309" s="7">
        <v>0.096</v>
      </c>
      <c r="J309" s="7">
        <v>0.086</v>
      </c>
      <c r="K309" s="7">
        <v>0.065</v>
      </c>
      <c r="L309" s="42">
        <v>0.113</v>
      </c>
      <c r="M309" s="7">
        <v>0.073</v>
      </c>
      <c r="N309" s="7">
        <v>0.158</v>
      </c>
      <c r="O309" s="7">
        <v>0.19</v>
      </c>
    </row>
    <row r="310" spans="1:15" ht="12.75">
      <c r="A310" s="1" t="s">
        <v>113</v>
      </c>
      <c r="B310" s="6" t="s">
        <v>66</v>
      </c>
      <c r="C310" s="29">
        <v>213710987</v>
      </c>
      <c r="D310" s="7">
        <v>0.04</v>
      </c>
      <c r="E310" s="7">
        <v>-0.008</v>
      </c>
      <c r="F310" s="7">
        <v>-0.016</v>
      </c>
      <c r="G310" s="7">
        <v>0.308</v>
      </c>
      <c r="H310" s="7">
        <v>0.074</v>
      </c>
      <c r="I310" s="7">
        <v>0.031</v>
      </c>
      <c r="J310" s="7">
        <v>0.017</v>
      </c>
      <c r="K310" s="7">
        <v>0.005</v>
      </c>
      <c r="L310" s="42">
        <v>0.018</v>
      </c>
      <c r="M310" s="7">
        <v>-0.018</v>
      </c>
      <c r="N310" s="7">
        <v>-0.008</v>
      </c>
      <c r="O310" s="7">
        <v>0.115</v>
      </c>
    </row>
    <row r="311" spans="1:15" ht="12.75">
      <c r="A311" s="1" t="s">
        <v>113</v>
      </c>
      <c r="B311" s="6" t="s">
        <v>116</v>
      </c>
      <c r="C311" s="29">
        <v>2744034</v>
      </c>
      <c r="D311" s="7">
        <v>-0.076</v>
      </c>
      <c r="E311" s="7">
        <v>-0.15</v>
      </c>
      <c r="F311" s="7">
        <v>-0.17</v>
      </c>
      <c r="G311" s="7">
        <v>0.108</v>
      </c>
      <c r="H311" s="7">
        <v>-0.095</v>
      </c>
      <c r="I311" s="7">
        <v>-0.196</v>
      </c>
      <c r="J311" s="7">
        <v>-0.198</v>
      </c>
      <c r="K311" s="7">
        <v>-0.186</v>
      </c>
      <c r="L311" s="42">
        <v>-0.202</v>
      </c>
      <c r="M311" s="7">
        <v>-0.244</v>
      </c>
      <c r="N311" s="7">
        <v>0.006</v>
      </c>
      <c r="O311" s="7">
        <v>0.135</v>
      </c>
    </row>
    <row r="312" spans="1:15" ht="12.75">
      <c r="A312" s="1" t="s">
        <v>113</v>
      </c>
      <c r="B312" s="6" t="s">
        <v>117</v>
      </c>
      <c r="C312" s="29">
        <v>4011204</v>
      </c>
      <c r="D312" s="7">
        <v>-0.059</v>
      </c>
      <c r="E312" s="7">
        <v>-0.021</v>
      </c>
      <c r="F312" s="7">
        <v>-0.046</v>
      </c>
      <c r="G312" s="7">
        <v>0.21</v>
      </c>
      <c r="H312" s="7">
        <v>0.1</v>
      </c>
      <c r="I312" s="7">
        <v>0.006</v>
      </c>
      <c r="J312" s="7">
        <v>-0.034</v>
      </c>
      <c r="K312" s="7">
        <v>0.001</v>
      </c>
      <c r="L312" s="42">
        <v>0.041</v>
      </c>
      <c r="M312" s="7">
        <v>-0.024</v>
      </c>
      <c r="N312" s="7">
        <v>0.003</v>
      </c>
      <c r="O312" s="7">
        <v>0.191</v>
      </c>
    </row>
    <row r="313" spans="1:15" ht="12.75">
      <c r="A313" s="1" t="s">
        <v>113</v>
      </c>
      <c r="B313" s="6" t="s">
        <v>121</v>
      </c>
      <c r="C313" s="29">
        <v>8565399</v>
      </c>
      <c r="D313" s="7">
        <v>0.007</v>
      </c>
      <c r="E313" s="7">
        <v>-0.022</v>
      </c>
      <c r="F313" s="7">
        <v>-0.062</v>
      </c>
      <c r="G313" s="7">
        <v>0.272</v>
      </c>
      <c r="H313" s="7">
        <v>-0.013</v>
      </c>
      <c r="I313" s="7">
        <v>-0.011</v>
      </c>
      <c r="J313" s="7">
        <v>0.012</v>
      </c>
      <c r="K313" s="7">
        <v>-0.02</v>
      </c>
      <c r="L313" s="42">
        <v>-0.015</v>
      </c>
      <c r="M313" s="7">
        <v>-0.037</v>
      </c>
      <c r="N313" s="7">
        <v>0.004</v>
      </c>
      <c r="O313" s="7">
        <v>0.041</v>
      </c>
    </row>
    <row r="314" spans="1:15" ht="12.75">
      <c r="A314" s="1" t="s">
        <v>113</v>
      </c>
      <c r="B314" s="6" t="s">
        <v>132</v>
      </c>
      <c r="C314" s="29">
        <v>230663</v>
      </c>
      <c r="D314" s="7">
        <v>-0.061</v>
      </c>
      <c r="E314" s="7">
        <v>0.115</v>
      </c>
      <c r="F314" s="7">
        <v>0.034</v>
      </c>
      <c r="G314" s="7">
        <v>0.344</v>
      </c>
      <c r="H314" s="7">
        <v>0.067</v>
      </c>
      <c r="I314" s="7">
        <v>-0.023</v>
      </c>
      <c r="J314" s="7">
        <v>-0.014</v>
      </c>
      <c r="K314" s="7">
        <v>-0.06</v>
      </c>
      <c r="L314" s="42">
        <v>-0.055</v>
      </c>
      <c r="M314" s="7">
        <v>-0.011</v>
      </c>
      <c r="N314" s="7">
        <v>-0.017</v>
      </c>
      <c r="O314" s="7">
        <v>-0.001</v>
      </c>
    </row>
    <row r="315" spans="1:15" ht="12.75">
      <c r="A315" s="1" t="s">
        <v>113</v>
      </c>
      <c r="B315" s="6" t="s">
        <v>127</v>
      </c>
      <c r="C315" s="29">
        <v>750245</v>
      </c>
      <c r="D315" s="7">
        <v>-0.592</v>
      </c>
      <c r="E315" s="7">
        <v>-0.278</v>
      </c>
      <c r="F315" s="7">
        <v>-0.33</v>
      </c>
      <c r="G315" s="7">
        <v>0.196</v>
      </c>
      <c r="H315" s="7">
        <v>-0.103</v>
      </c>
      <c r="I315" s="7">
        <v>-0.158</v>
      </c>
      <c r="J315" s="7">
        <v>-0.154</v>
      </c>
      <c r="K315" s="7">
        <v>-0.186</v>
      </c>
      <c r="L315" s="42">
        <v>-0.183</v>
      </c>
      <c r="M315" s="7">
        <v>-0.226</v>
      </c>
      <c r="N315" s="7">
        <v>-0.108</v>
      </c>
      <c r="O315" s="7">
        <v>0.146</v>
      </c>
    </row>
    <row r="316" spans="1:15" ht="12.75">
      <c r="A316" s="1" t="s">
        <v>113</v>
      </c>
      <c r="B316" s="6" t="s">
        <v>128</v>
      </c>
      <c r="C316" s="29">
        <v>5723420</v>
      </c>
      <c r="D316" s="7">
        <v>0.015</v>
      </c>
      <c r="E316" s="7">
        <v>-0.057</v>
      </c>
      <c r="F316" s="7">
        <v>-0.085</v>
      </c>
      <c r="G316" s="7">
        <v>0.33</v>
      </c>
      <c r="H316" s="7">
        <v>0.029</v>
      </c>
      <c r="I316" s="7">
        <v>-0.031</v>
      </c>
      <c r="J316" s="7">
        <v>-0.03</v>
      </c>
      <c r="K316" s="7">
        <v>-0.019</v>
      </c>
      <c r="L316" s="42">
        <v>0.015</v>
      </c>
      <c r="M316" s="7">
        <v>-0.031</v>
      </c>
      <c r="N316" s="7">
        <v>-0.022</v>
      </c>
      <c r="O316" s="7">
        <v>0.088</v>
      </c>
    </row>
    <row r="317" spans="1:15" ht="12.75">
      <c r="A317" s="1" t="s">
        <v>113</v>
      </c>
      <c r="B317" s="6" t="s">
        <v>129</v>
      </c>
      <c r="C317" s="29">
        <v>1398783</v>
      </c>
      <c r="D317" s="7">
        <v>-0.079</v>
      </c>
      <c r="E317" s="7">
        <v>-0.161</v>
      </c>
      <c r="F317" s="7">
        <v>-0.229</v>
      </c>
      <c r="G317" s="7">
        <v>0.052</v>
      </c>
      <c r="H317" s="7">
        <v>-0.053</v>
      </c>
      <c r="I317" s="7">
        <v>-0.134</v>
      </c>
      <c r="J317" s="7">
        <v>-0.117</v>
      </c>
      <c r="K317" s="7">
        <v>-0.142</v>
      </c>
      <c r="L317" s="42">
        <v>-0.116</v>
      </c>
      <c r="M317" s="7">
        <v>-0.173</v>
      </c>
      <c r="N317" s="7">
        <v>-0.291</v>
      </c>
      <c r="O317" s="7">
        <v>-0.27</v>
      </c>
    </row>
    <row r="318" spans="1:15" ht="12.75">
      <c r="A318" s="1" t="s">
        <v>113</v>
      </c>
      <c r="B318" s="6" t="s">
        <v>149</v>
      </c>
      <c r="C318" s="29">
        <v>338488</v>
      </c>
      <c r="D318" s="7">
        <v>0.081</v>
      </c>
      <c r="E318" s="7">
        <v>0.09</v>
      </c>
      <c r="F318" s="7">
        <v>0.055</v>
      </c>
      <c r="G318" s="7">
        <v>0.417</v>
      </c>
      <c r="H318" s="7">
        <v>0.343</v>
      </c>
      <c r="I318" s="7">
        <v>0.216</v>
      </c>
      <c r="J318" s="7">
        <v>0.266</v>
      </c>
      <c r="K318" s="7">
        <v>0.202</v>
      </c>
      <c r="L318" s="42">
        <v>0.168</v>
      </c>
      <c r="M318" s="7">
        <v>0.139</v>
      </c>
      <c r="N318" s="7">
        <v>0.111</v>
      </c>
      <c r="O318" s="7">
        <v>0.324</v>
      </c>
    </row>
    <row r="319" spans="1:15" ht="12.75">
      <c r="A319" s="1" t="s">
        <v>113</v>
      </c>
      <c r="B319" s="6" t="s">
        <v>122</v>
      </c>
      <c r="C319" s="29">
        <v>877236</v>
      </c>
      <c r="D319" s="7">
        <v>0.007</v>
      </c>
      <c r="E319" s="7">
        <v>-0.115</v>
      </c>
      <c r="F319" s="7">
        <v>-0.043</v>
      </c>
      <c r="G319" s="7">
        <v>0.193</v>
      </c>
      <c r="H319" s="7">
        <v>-0.062</v>
      </c>
      <c r="I319" s="7">
        <v>-0.071</v>
      </c>
      <c r="J319" s="7">
        <v>-0.091</v>
      </c>
      <c r="K319" s="7">
        <v>-0.093</v>
      </c>
      <c r="L319" s="42">
        <v>-0.05</v>
      </c>
      <c r="M319" s="7">
        <v>-0.092</v>
      </c>
      <c r="N319" s="7">
        <v>-0.179</v>
      </c>
      <c r="O319" s="7">
        <v>0.007</v>
      </c>
    </row>
    <row r="320" spans="1:15" ht="12.75">
      <c r="A320" s="1" t="s">
        <v>113</v>
      </c>
      <c r="B320" s="6" t="s">
        <v>133</v>
      </c>
      <c r="C320" s="29">
        <v>224556</v>
      </c>
      <c r="D320" s="7">
        <v>0.446</v>
      </c>
      <c r="E320" s="7">
        <v>0.25</v>
      </c>
      <c r="F320" s="7">
        <v>0.244</v>
      </c>
      <c r="G320" s="7">
        <v>0.056</v>
      </c>
      <c r="H320" s="7">
        <v>-0.217</v>
      </c>
      <c r="I320" s="7">
        <v>-0.244</v>
      </c>
      <c r="J320" s="7">
        <v>-0.316</v>
      </c>
      <c r="K320" s="7">
        <v>-0.361</v>
      </c>
      <c r="L320" s="42">
        <v>-0.413</v>
      </c>
      <c r="M320" s="7">
        <v>-0.34</v>
      </c>
      <c r="N320" s="7">
        <v>-0.122</v>
      </c>
      <c r="O320" s="7">
        <v>0.024</v>
      </c>
    </row>
    <row r="321" spans="1:15" ht="12.75">
      <c r="A321" s="1" t="s">
        <v>113</v>
      </c>
      <c r="B321" s="6" t="s">
        <v>317</v>
      </c>
      <c r="C321" s="29">
        <v>4112841</v>
      </c>
      <c r="D321" s="7">
        <v>-0.12</v>
      </c>
      <c r="E321" s="7">
        <v>-0.107</v>
      </c>
      <c r="F321" s="7">
        <v>-0.101</v>
      </c>
      <c r="G321" s="7">
        <v>0.324</v>
      </c>
      <c r="H321" s="7">
        <v>0.092</v>
      </c>
      <c r="I321" s="7">
        <v>0.046</v>
      </c>
      <c r="J321" s="7">
        <v>0.037</v>
      </c>
      <c r="K321" s="7">
        <v>-0.026</v>
      </c>
      <c r="L321" s="42">
        <v>0.066</v>
      </c>
      <c r="M321" s="7">
        <v>0.026</v>
      </c>
      <c r="N321" s="7">
        <v>-0.024</v>
      </c>
      <c r="O321" s="7">
        <v>0.01</v>
      </c>
    </row>
    <row r="322" spans="1:15" ht="12.75">
      <c r="A322" s="1" t="s">
        <v>113</v>
      </c>
      <c r="B322" s="6" t="s">
        <v>118</v>
      </c>
      <c r="C322" s="29">
        <v>8598699</v>
      </c>
      <c r="D322" s="7">
        <v>0.138</v>
      </c>
      <c r="E322" s="7">
        <v>0.051</v>
      </c>
      <c r="F322" s="7">
        <v>0.073</v>
      </c>
      <c r="G322" s="7">
        <v>0.439</v>
      </c>
      <c r="H322" s="7">
        <v>0.137</v>
      </c>
      <c r="I322" s="7">
        <v>0.077</v>
      </c>
      <c r="J322" s="7">
        <v>0.033</v>
      </c>
      <c r="K322" s="7">
        <v>0.03</v>
      </c>
      <c r="L322" s="42">
        <v>0.031</v>
      </c>
      <c r="M322" s="7">
        <v>0.018</v>
      </c>
      <c r="N322" s="7">
        <v>0.033</v>
      </c>
      <c r="O322" s="7">
        <v>0.252</v>
      </c>
    </row>
    <row r="323" spans="1:15" ht="12.75">
      <c r="A323" s="1" t="s">
        <v>113</v>
      </c>
      <c r="B323" s="6" t="s">
        <v>130</v>
      </c>
      <c r="C323" s="29">
        <v>738998</v>
      </c>
      <c r="D323" s="7">
        <v>-0.012</v>
      </c>
      <c r="E323" s="7">
        <v>-0.001</v>
      </c>
      <c r="F323" s="7">
        <v>-0.159</v>
      </c>
      <c r="G323" s="7">
        <v>0.084</v>
      </c>
      <c r="H323" s="7">
        <v>-0.042</v>
      </c>
      <c r="I323" s="7">
        <v>-0.044</v>
      </c>
      <c r="J323" s="7">
        <v>-0.034</v>
      </c>
      <c r="K323" s="7">
        <v>-0.038</v>
      </c>
      <c r="L323" s="42">
        <v>-0.059</v>
      </c>
      <c r="M323" s="7">
        <v>-0.062</v>
      </c>
      <c r="N323" s="7">
        <v>-0.091</v>
      </c>
      <c r="O323" s="7">
        <v>0.043</v>
      </c>
    </row>
    <row r="324" spans="1:15" ht="12.75">
      <c r="A324" s="1" t="s">
        <v>113</v>
      </c>
      <c r="B324" s="6" t="s">
        <v>119</v>
      </c>
      <c r="C324" s="29">
        <v>6527322</v>
      </c>
      <c r="D324" s="7">
        <v>0.083</v>
      </c>
      <c r="E324" s="7">
        <v>0.008</v>
      </c>
      <c r="F324" s="7">
        <v>0.026</v>
      </c>
      <c r="G324" s="7">
        <v>0.273</v>
      </c>
      <c r="H324" s="7">
        <v>0.071</v>
      </c>
      <c r="I324" s="7">
        <v>0.027</v>
      </c>
      <c r="J324" s="7">
        <v>0.006</v>
      </c>
      <c r="K324" s="7">
        <v>0.055</v>
      </c>
      <c r="L324" s="42">
        <v>0.032</v>
      </c>
      <c r="M324" s="7">
        <v>0.003</v>
      </c>
      <c r="N324" s="7">
        <v>-0.025</v>
      </c>
      <c r="O324" s="7">
        <v>0.169</v>
      </c>
    </row>
    <row r="325" spans="1:15" ht="12.75">
      <c r="A325" s="1" t="s">
        <v>113</v>
      </c>
      <c r="B325" s="6" t="s">
        <v>134</v>
      </c>
      <c r="C325" s="29">
        <v>886366</v>
      </c>
      <c r="D325" s="7">
        <v>0.095</v>
      </c>
      <c r="E325" s="7">
        <v>-0.009</v>
      </c>
      <c r="F325" s="7">
        <v>-0.018</v>
      </c>
      <c r="G325" s="7">
        <v>0.235</v>
      </c>
      <c r="H325" s="7">
        <v>-0.018</v>
      </c>
      <c r="I325" s="7">
        <v>-0.014</v>
      </c>
      <c r="J325" s="7">
        <v>-0.014</v>
      </c>
      <c r="K325" s="7">
        <v>-0.042</v>
      </c>
      <c r="L325" s="42">
        <v>-0.024</v>
      </c>
      <c r="M325" s="7">
        <v>-0.045</v>
      </c>
      <c r="N325" s="7">
        <v>0.01</v>
      </c>
      <c r="O325" s="7">
        <v>0.179</v>
      </c>
    </row>
    <row r="326" spans="1:15" ht="12.75">
      <c r="A326" s="1" t="s">
        <v>113</v>
      </c>
      <c r="B326" s="6" t="s">
        <v>135</v>
      </c>
      <c r="C326" s="29">
        <v>272798</v>
      </c>
      <c r="D326" s="7">
        <v>0.104</v>
      </c>
      <c r="E326" s="7">
        <v>0.086</v>
      </c>
      <c r="F326" s="7">
        <v>-0.014</v>
      </c>
      <c r="G326" s="7">
        <v>0.345</v>
      </c>
      <c r="H326" s="7">
        <v>0.019</v>
      </c>
      <c r="I326" s="7">
        <v>-0.076</v>
      </c>
      <c r="J326" s="7">
        <v>-0.063</v>
      </c>
      <c r="K326" s="7">
        <v>-0.112</v>
      </c>
      <c r="L326" s="42">
        <v>-0.191</v>
      </c>
      <c r="M326" s="7">
        <v>-0.159</v>
      </c>
      <c r="N326" s="7">
        <v>0.063</v>
      </c>
      <c r="O326" s="7">
        <v>0.188</v>
      </c>
    </row>
    <row r="327" spans="1:15" ht="12.75">
      <c r="A327" s="1" t="s">
        <v>113</v>
      </c>
      <c r="B327" s="6" t="s">
        <v>136</v>
      </c>
      <c r="C327" s="29">
        <v>528447</v>
      </c>
      <c r="D327" s="7">
        <v>0.104</v>
      </c>
      <c r="E327" s="7">
        <v>-0.043</v>
      </c>
      <c r="F327" s="7">
        <v>-0.05</v>
      </c>
      <c r="G327" s="7">
        <v>0.366</v>
      </c>
      <c r="H327" s="7">
        <v>0.102</v>
      </c>
      <c r="I327" s="7">
        <v>0.044</v>
      </c>
      <c r="J327" s="7">
        <v>0.078</v>
      </c>
      <c r="K327" s="7">
        <v>0.079</v>
      </c>
      <c r="L327" s="42">
        <v>0.118</v>
      </c>
      <c r="M327" s="7">
        <v>0.073</v>
      </c>
      <c r="N327" s="7">
        <v>0.073</v>
      </c>
      <c r="O327" s="7">
        <v>0.306</v>
      </c>
    </row>
    <row r="328" spans="1:15" ht="12.75">
      <c r="A328" s="1" t="s">
        <v>113</v>
      </c>
      <c r="B328" s="6" t="s">
        <v>137</v>
      </c>
      <c r="C328" s="29">
        <v>674414</v>
      </c>
      <c r="D328" s="7">
        <v>0.036</v>
      </c>
      <c r="E328" s="7">
        <v>-0.048</v>
      </c>
      <c r="F328" s="7">
        <v>-0.051</v>
      </c>
      <c r="G328" s="7">
        <v>0.254</v>
      </c>
      <c r="H328" s="7">
        <v>0.098</v>
      </c>
      <c r="I328" s="7">
        <v>0.068</v>
      </c>
      <c r="J328" s="7">
        <v>0.003</v>
      </c>
      <c r="K328" s="7">
        <v>0.008</v>
      </c>
      <c r="L328" s="42">
        <v>0.005</v>
      </c>
      <c r="M328" s="7">
        <v>-0.01</v>
      </c>
      <c r="N328" s="7">
        <v>0.003</v>
      </c>
      <c r="O328" s="7">
        <v>0.173</v>
      </c>
    </row>
    <row r="329" spans="1:15" ht="12.75">
      <c r="A329" s="1" t="s">
        <v>113</v>
      </c>
      <c r="B329" s="6" t="s">
        <v>138</v>
      </c>
      <c r="C329" s="29">
        <v>1430783</v>
      </c>
      <c r="D329" s="7">
        <v>0.075</v>
      </c>
      <c r="E329" s="7">
        <v>-0.016</v>
      </c>
      <c r="F329" s="7">
        <v>-0.042</v>
      </c>
      <c r="G329" s="7">
        <v>0.25</v>
      </c>
      <c r="H329" s="7">
        <v>0.003</v>
      </c>
      <c r="I329" s="7">
        <v>0.006</v>
      </c>
      <c r="J329" s="7">
        <v>0.021</v>
      </c>
      <c r="K329" s="7">
        <v>-0.023</v>
      </c>
      <c r="L329" s="42">
        <v>0.003</v>
      </c>
      <c r="M329" s="7">
        <v>-0.012</v>
      </c>
      <c r="N329" s="7">
        <v>0.003</v>
      </c>
      <c r="O329" s="7">
        <v>0.121</v>
      </c>
    </row>
    <row r="330" spans="1:15" ht="12.75">
      <c r="A330" s="1" t="s">
        <v>113</v>
      </c>
      <c r="B330" s="6" t="s">
        <v>139</v>
      </c>
      <c r="C330" s="29">
        <v>128994</v>
      </c>
      <c r="D330" s="7">
        <v>-0.031</v>
      </c>
      <c r="E330" s="7">
        <v>0.012</v>
      </c>
      <c r="F330" s="7">
        <v>-0.042</v>
      </c>
      <c r="G330" s="7">
        <v>0.31</v>
      </c>
      <c r="H330" s="7">
        <v>0.002</v>
      </c>
      <c r="I330" s="7">
        <v>0.032</v>
      </c>
      <c r="J330" s="7">
        <v>0.005</v>
      </c>
      <c r="K330" s="7">
        <v>0.012</v>
      </c>
      <c r="L330" s="42">
        <v>-0.017</v>
      </c>
      <c r="M330" s="7">
        <v>-0.005</v>
      </c>
      <c r="N330" s="7">
        <v>0.066</v>
      </c>
      <c r="O330" s="7">
        <v>0.274</v>
      </c>
    </row>
    <row r="331" spans="1:15" ht="12.75">
      <c r="A331" s="1" t="s">
        <v>113</v>
      </c>
      <c r="B331" s="6" t="s">
        <v>123</v>
      </c>
      <c r="C331" s="29">
        <v>2725643</v>
      </c>
      <c r="D331" s="7">
        <v>0.327</v>
      </c>
      <c r="E331" s="7">
        <v>0.21</v>
      </c>
      <c r="F331" s="7">
        <v>0.092</v>
      </c>
      <c r="G331" s="7">
        <v>0.442</v>
      </c>
      <c r="H331" s="7">
        <v>0.133</v>
      </c>
      <c r="I331" s="7">
        <v>0.033</v>
      </c>
      <c r="J331" s="7">
        <v>0.038</v>
      </c>
      <c r="K331" s="7">
        <v>0.015</v>
      </c>
      <c r="L331" s="42">
        <v>0.043</v>
      </c>
      <c r="M331" s="7">
        <v>-0.103</v>
      </c>
      <c r="N331" s="7">
        <v>-0.103</v>
      </c>
      <c r="O331" s="7">
        <v>-0.004</v>
      </c>
    </row>
    <row r="332" spans="1:15" ht="12.75">
      <c r="A332" s="1" t="s">
        <v>113</v>
      </c>
      <c r="B332" s="6" t="s">
        <v>124</v>
      </c>
      <c r="C332" s="29">
        <v>5010305</v>
      </c>
      <c r="D332" s="7">
        <v>-0.038</v>
      </c>
      <c r="E332" s="7">
        <v>-0.059</v>
      </c>
      <c r="F332" s="7">
        <v>-0.067</v>
      </c>
      <c r="G332" s="7">
        <v>0.338</v>
      </c>
      <c r="H332" s="7">
        <v>0.171</v>
      </c>
      <c r="I332" s="7">
        <v>0.045</v>
      </c>
      <c r="J332" s="7">
        <v>0.059</v>
      </c>
      <c r="K332" s="7">
        <v>0.033</v>
      </c>
      <c r="L332" s="42">
        <v>0.05</v>
      </c>
      <c r="M332" s="7">
        <v>0.015</v>
      </c>
      <c r="N332" s="7">
        <v>-0.034</v>
      </c>
      <c r="O332" s="7">
        <v>0.056</v>
      </c>
    </row>
    <row r="333" spans="1:15" ht="12.75">
      <c r="A333" s="1" t="s">
        <v>113</v>
      </c>
      <c r="B333" s="6" t="s">
        <v>114</v>
      </c>
      <c r="C333" s="29">
        <v>2780716</v>
      </c>
      <c r="D333" s="20">
        <v>-0.184</v>
      </c>
      <c r="E333" s="20">
        <v>-0.006</v>
      </c>
      <c r="F333" s="20">
        <v>-0.067</v>
      </c>
      <c r="G333" s="20">
        <v>0.315</v>
      </c>
      <c r="H333" s="7">
        <v>0.108</v>
      </c>
      <c r="I333" s="7">
        <v>0.024</v>
      </c>
      <c r="J333" s="7">
        <v>0.072</v>
      </c>
      <c r="K333" s="7">
        <v>0.103</v>
      </c>
      <c r="L333" s="42">
        <v>0.067</v>
      </c>
      <c r="M333" s="7">
        <v>0.04</v>
      </c>
      <c r="N333" s="7">
        <v>0.019</v>
      </c>
      <c r="O333" s="7">
        <v>0.33</v>
      </c>
    </row>
    <row r="334" spans="1:15" ht="12.75">
      <c r="A334" s="1" t="s">
        <v>113</v>
      </c>
      <c r="B334" s="6" t="s">
        <v>145</v>
      </c>
      <c r="C334" s="29">
        <v>31347444</v>
      </c>
      <c r="D334" s="7">
        <v>0.118</v>
      </c>
      <c r="E334" s="7">
        <v>0.023</v>
      </c>
      <c r="F334" s="7">
        <v>0.014</v>
      </c>
      <c r="G334" s="7">
        <v>0.343</v>
      </c>
      <c r="H334" s="7">
        <v>0.068</v>
      </c>
      <c r="I334" s="7">
        <v>0.052</v>
      </c>
      <c r="J334" s="7">
        <v>0.059</v>
      </c>
      <c r="K334" s="7">
        <v>0.036</v>
      </c>
      <c r="L334" s="42">
        <v>0.049</v>
      </c>
      <c r="M334" s="7">
        <v>0.025</v>
      </c>
      <c r="N334" s="7">
        <v>0.006</v>
      </c>
      <c r="O334" s="7">
        <v>0.201</v>
      </c>
    </row>
    <row r="335" spans="1:15" ht="12.75">
      <c r="A335" s="1" t="s">
        <v>113</v>
      </c>
      <c r="B335" s="6" t="s">
        <v>146</v>
      </c>
      <c r="C335" s="29">
        <v>65747199</v>
      </c>
      <c r="D335" s="7">
        <v>0.046</v>
      </c>
      <c r="E335" s="7">
        <v>0.005</v>
      </c>
      <c r="F335" s="7">
        <v>0.023</v>
      </c>
      <c r="G335" s="7">
        <v>0.315</v>
      </c>
      <c r="H335" s="7">
        <v>0.116</v>
      </c>
      <c r="I335" s="7">
        <v>0.063</v>
      </c>
      <c r="J335" s="7">
        <v>0.025</v>
      </c>
      <c r="K335" s="7">
        <v>0.007</v>
      </c>
      <c r="L335" s="42">
        <v>0.014</v>
      </c>
      <c r="M335" s="7">
        <v>-0.013</v>
      </c>
      <c r="N335" s="7">
        <v>-0.005</v>
      </c>
      <c r="O335" s="7">
        <v>0.147</v>
      </c>
    </row>
    <row r="336" spans="1:15" ht="12.75">
      <c r="A336" s="1" t="s">
        <v>113</v>
      </c>
      <c r="B336" s="6" t="s">
        <v>148</v>
      </c>
      <c r="C336" s="29">
        <v>8738299</v>
      </c>
      <c r="D336" s="7">
        <v>0.095</v>
      </c>
      <c r="E336" s="7">
        <v>0.035</v>
      </c>
      <c r="F336" s="7">
        <v>0.013</v>
      </c>
      <c r="G336" s="7">
        <v>0.359</v>
      </c>
      <c r="H336" s="7">
        <v>0.101</v>
      </c>
      <c r="I336" s="7">
        <v>0.099</v>
      </c>
      <c r="J336" s="7">
        <v>0.091</v>
      </c>
      <c r="K336" s="7">
        <v>0.07</v>
      </c>
      <c r="L336" s="42">
        <v>0.079</v>
      </c>
      <c r="M336" s="7">
        <v>0.054</v>
      </c>
      <c r="N336" s="7">
        <v>0.002</v>
      </c>
      <c r="O336" s="7">
        <v>0.106</v>
      </c>
    </row>
    <row r="337" spans="1:15" ht="12.75">
      <c r="A337" s="1" t="s">
        <v>113</v>
      </c>
      <c r="B337" s="6" t="s">
        <v>147</v>
      </c>
      <c r="C337" s="29">
        <v>18568393</v>
      </c>
      <c r="D337" s="7">
        <v>-0.057</v>
      </c>
      <c r="E337" s="7">
        <v>-0.062</v>
      </c>
      <c r="F337" s="7">
        <v>-0.074</v>
      </c>
      <c r="G337" s="7">
        <v>0.264</v>
      </c>
      <c r="H337" s="7">
        <v>0.008</v>
      </c>
      <c r="I337" s="7">
        <v>-0.032</v>
      </c>
      <c r="J337" s="7">
        <v>-0.071</v>
      </c>
      <c r="K337" s="7">
        <v>-0.051</v>
      </c>
      <c r="L337" s="42">
        <v>-0.04</v>
      </c>
      <c r="M337" s="7">
        <v>-0.048</v>
      </c>
      <c r="N337" s="7">
        <v>-0.075</v>
      </c>
      <c r="O337" s="7">
        <v>-0.033</v>
      </c>
    </row>
    <row r="338" spans="1:15" ht="12.75">
      <c r="A338" s="1" t="s">
        <v>113</v>
      </c>
      <c r="B338" s="6" t="s">
        <v>125</v>
      </c>
      <c r="C338" s="29">
        <v>17666531</v>
      </c>
      <c r="D338" s="7">
        <v>0.063</v>
      </c>
      <c r="E338" s="7">
        <v>0.039</v>
      </c>
      <c r="F338" s="7">
        <v>-0.036</v>
      </c>
      <c r="G338" s="7">
        <v>0.326</v>
      </c>
      <c r="H338" s="7">
        <v>0.101</v>
      </c>
      <c r="I338" s="7">
        <v>0.043</v>
      </c>
      <c r="J338" s="7">
        <v>0.057</v>
      </c>
      <c r="K338" s="7">
        <v>0.037</v>
      </c>
      <c r="L338" s="42">
        <v>0.065</v>
      </c>
      <c r="M338" s="7">
        <v>0.028</v>
      </c>
      <c r="N338" s="7">
        <v>0.038</v>
      </c>
      <c r="O338" s="7">
        <v>0.088</v>
      </c>
    </row>
    <row r="339" spans="1:15" ht="12.75">
      <c r="A339" s="1" t="s">
        <v>113</v>
      </c>
      <c r="B339" s="6" t="s">
        <v>126</v>
      </c>
      <c r="C339" s="29">
        <v>4347987</v>
      </c>
      <c r="D339" s="7">
        <v>0.044</v>
      </c>
      <c r="E339" s="7">
        <v>-0.032</v>
      </c>
      <c r="F339" s="7">
        <v>-0.058</v>
      </c>
      <c r="G339" s="7">
        <v>0.232</v>
      </c>
      <c r="H339" s="7">
        <v>-0.006</v>
      </c>
      <c r="I339" s="7">
        <v>0.007</v>
      </c>
      <c r="J339" s="7">
        <v>-0.006</v>
      </c>
      <c r="K339" s="7">
        <v>-0.035</v>
      </c>
      <c r="L339" s="42">
        <v>-0.023</v>
      </c>
      <c r="M339" s="7">
        <v>-0.063</v>
      </c>
      <c r="N339" s="7">
        <v>-0.024</v>
      </c>
      <c r="O339" s="7">
        <v>0.067</v>
      </c>
    </row>
    <row r="340" spans="1:15" ht="12.75">
      <c r="A340" s="1" t="s">
        <v>113</v>
      </c>
      <c r="B340" s="6" t="s">
        <v>140</v>
      </c>
      <c r="C340" s="29">
        <v>280081</v>
      </c>
      <c r="D340" s="7">
        <v>-0.443</v>
      </c>
      <c r="E340" s="7">
        <v>-0.656</v>
      </c>
      <c r="F340" s="7">
        <v>-0.193</v>
      </c>
      <c r="G340" s="7">
        <v>-0.1</v>
      </c>
      <c r="H340" s="7">
        <v>-0.274</v>
      </c>
      <c r="I340" s="7">
        <v>-0.322</v>
      </c>
      <c r="J340" s="7">
        <v>-0.313</v>
      </c>
      <c r="K340" s="7">
        <v>-0.203</v>
      </c>
      <c r="L340" s="42">
        <v>-0.332</v>
      </c>
      <c r="M340" s="7">
        <v>-0.48</v>
      </c>
      <c r="N340" s="7">
        <v>-0.262</v>
      </c>
      <c r="O340" s="7">
        <v>-0.312</v>
      </c>
    </row>
    <row r="341" spans="1:15" ht="12.75">
      <c r="A341" s="1" t="s">
        <v>113</v>
      </c>
      <c r="B341" s="6" t="s">
        <v>141</v>
      </c>
      <c r="C341" s="29">
        <v>425778</v>
      </c>
      <c r="D341" s="7">
        <v>0.203</v>
      </c>
      <c r="E341" s="7">
        <v>0.097</v>
      </c>
      <c r="F341" s="7">
        <v>0.031</v>
      </c>
      <c r="G341" s="7">
        <v>0.138</v>
      </c>
      <c r="H341" s="7">
        <v>-0.057</v>
      </c>
      <c r="I341" s="7">
        <v>-0.131</v>
      </c>
      <c r="J341" s="7">
        <v>-0.091</v>
      </c>
      <c r="K341" s="7">
        <v>-0.107</v>
      </c>
      <c r="L341" s="42">
        <v>-0.032</v>
      </c>
      <c r="M341" s="7">
        <v>-0.046</v>
      </c>
      <c r="N341" s="7">
        <v>-0.093</v>
      </c>
      <c r="O341" s="7">
        <v>0.063</v>
      </c>
    </row>
    <row r="342" spans="1:15" ht="12.75">
      <c r="A342" s="1" t="s">
        <v>113</v>
      </c>
      <c r="B342" s="6" t="s">
        <v>120</v>
      </c>
      <c r="C342" s="29">
        <v>1660811</v>
      </c>
      <c r="D342" s="7">
        <v>-0.398</v>
      </c>
      <c r="E342" s="7">
        <v>-0.382</v>
      </c>
      <c r="F342" s="7">
        <v>-0.353</v>
      </c>
      <c r="G342" s="7">
        <v>0.11</v>
      </c>
      <c r="H342" s="7">
        <v>-0.133</v>
      </c>
      <c r="I342" s="7">
        <v>-0.194</v>
      </c>
      <c r="J342" s="7">
        <v>-0.193</v>
      </c>
      <c r="K342" s="7">
        <v>-0.208</v>
      </c>
      <c r="L342" s="42">
        <v>-0.187</v>
      </c>
      <c r="M342" s="7">
        <v>-0.203</v>
      </c>
      <c r="N342" s="7">
        <v>-0.395</v>
      </c>
      <c r="O342" s="7">
        <v>-0.342</v>
      </c>
    </row>
    <row r="343" spans="1:15" ht="12.75">
      <c r="A343" s="1" t="s">
        <v>113</v>
      </c>
      <c r="B343" s="6" t="s">
        <v>142</v>
      </c>
      <c r="C343" s="29">
        <v>279606</v>
      </c>
      <c r="D343" s="7">
        <v>0.205</v>
      </c>
      <c r="E343" s="7">
        <v>0.021</v>
      </c>
      <c r="F343" s="7">
        <v>0.088</v>
      </c>
      <c r="G343" s="7">
        <v>0.345</v>
      </c>
      <c r="H343" s="7">
        <v>0.085</v>
      </c>
      <c r="I343" s="7">
        <v>0.032</v>
      </c>
      <c r="J343" s="7">
        <v>-0.096</v>
      </c>
      <c r="K343" s="7">
        <v>0.038</v>
      </c>
      <c r="L343" s="42">
        <v>-0.05</v>
      </c>
      <c r="M343" s="7">
        <v>-0.113</v>
      </c>
      <c r="N343" s="7">
        <v>0.051</v>
      </c>
      <c r="O343" s="7">
        <v>-0.056</v>
      </c>
    </row>
    <row r="344" spans="1:15" ht="12.75">
      <c r="A344" s="1" t="s">
        <v>113</v>
      </c>
      <c r="B344" s="6" t="s">
        <v>131</v>
      </c>
      <c r="C344" s="29">
        <v>1734089</v>
      </c>
      <c r="D344" s="7">
        <v>0.049</v>
      </c>
      <c r="E344" s="7">
        <v>-0.092</v>
      </c>
      <c r="F344" s="7">
        <v>-0.086</v>
      </c>
      <c r="G344" s="7">
        <v>0.185</v>
      </c>
      <c r="H344" s="7">
        <v>-0.011</v>
      </c>
      <c r="I344" s="7">
        <v>-0.008</v>
      </c>
      <c r="J344" s="7">
        <v>0.025</v>
      </c>
      <c r="K344" s="7">
        <v>0.024</v>
      </c>
      <c r="L344" s="42">
        <v>0.007</v>
      </c>
      <c r="M344" s="7">
        <v>-0.03</v>
      </c>
      <c r="N344" s="7">
        <v>-0.02</v>
      </c>
      <c r="O344" s="7">
        <v>0.268</v>
      </c>
    </row>
    <row r="345" spans="1:15" ht="12.75">
      <c r="A345" s="1" t="s">
        <v>113</v>
      </c>
      <c r="B345" s="6" t="s">
        <v>143</v>
      </c>
      <c r="C345" s="29">
        <v>112226</v>
      </c>
      <c r="D345" s="7">
        <v>0.111</v>
      </c>
      <c r="E345" s="7">
        <v>0.065</v>
      </c>
      <c r="F345" s="7">
        <v>0.078</v>
      </c>
      <c r="G345" s="7">
        <v>0.406</v>
      </c>
      <c r="H345" s="7">
        <v>0.15</v>
      </c>
      <c r="I345" s="7">
        <v>0.072</v>
      </c>
      <c r="J345" s="7">
        <v>-0.038</v>
      </c>
      <c r="K345" s="7">
        <v>0.051</v>
      </c>
      <c r="L345" s="42">
        <v>0.043</v>
      </c>
      <c r="M345" s="7">
        <v>0.088</v>
      </c>
      <c r="N345" s="7">
        <v>0.017</v>
      </c>
      <c r="O345" s="7">
        <v>0.196</v>
      </c>
    </row>
    <row r="346" spans="1:15" ht="12.75">
      <c r="A346" s="1" t="s">
        <v>113</v>
      </c>
      <c r="B346" s="6" t="s">
        <v>144</v>
      </c>
      <c r="C346" s="29">
        <v>139464</v>
      </c>
      <c r="D346" s="7">
        <v>0.058</v>
      </c>
      <c r="E346" s="7">
        <v>-0.549</v>
      </c>
      <c r="F346" s="7">
        <v>0.072</v>
      </c>
      <c r="G346" s="7">
        <v>0.336</v>
      </c>
      <c r="H346" s="7">
        <v>0.055</v>
      </c>
      <c r="I346" s="7">
        <v>-0.014</v>
      </c>
      <c r="J346" s="7">
        <v>0.118</v>
      </c>
      <c r="K346" s="7">
        <v>-0.001</v>
      </c>
      <c r="L346" s="42">
        <v>-0.037</v>
      </c>
      <c r="M346" s="7">
        <v>0.02</v>
      </c>
      <c r="N346" s="7">
        <v>-0.006</v>
      </c>
      <c r="O346" s="7">
        <v>0.243</v>
      </c>
    </row>
    <row r="347" spans="3:15" ht="12.75">
      <c r="C347"/>
      <c r="L347" s="46"/>
      <c r="O347" s="7"/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20.625" style="0" customWidth="1"/>
    <col min="2" max="2" width="24.875" style="0" customWidth="1"/>
    <col min="3" max="3" width="10.625" style="5" customWidth="1"/>
    <col min="4" max="15" width="9.625" style="3" customWidth="1"/>
    <col min="16" max="16" width="10.625" style="0" customWidth="1"/>
    <col min="17" max="17" width="7.625" style="34" customWidth="1"/>
    <col min="19" max="19" width="10.125" style="0" bestFit="1" customWidth="1"/>
    <col min="20" max="21" width="11.125" style="0" bestFit="1" customWidth="1"/>
  </cols>
  <sheetData>
    <row r="1" spans="1:17" ht="19.5">
      <c r="A1" s="51" t="s">
        <v>356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52" t="s">
        <v>398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10"/>
      <c r="B3" s="10"/>
      <c r="C3" s="11"/>
      <c r="D3" s="12"/>
      <c r="E3" s="12"/>
      <c r="F3" s="12"/>
      <c r="G3" s="12"/>
      <c r="H3" s="10"/>
      <c r="I3" s="17"/>
      <c r="J3" s="17"/>
      <c r="K3" s="17"/>
      <c r="L3" s="17"/>
      <c r="M3" s="17"/>
      <c r="N3" s="17"/>
      <c r="O3" s="17"/>
      <c r="P3" s="17"/>
      <c r="Q3" s="19"/>
    </row>
    <row r="4" spans="1:17" ht="12.75">
      <c r="A4" s="2" t="s">
        <v>0</v>
      </c>
      <c r="B4" s="2" t="s">
        <v>1</v>
      </c>
      <c r="C4" s="9" t="s">
        <v>328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9" t="s">
        <v>360</v>
      </c>
      <c r="Q4" s="49" t="s">
        <v>284</v>
      </c>
    </row>
    <row r="5" spans="1:17" ht="12.75">
      <c r="A5" s="1" t="s">
        <v>291</v>
      </c>
      <c r="B5" s="6" t="s">
        <v>292</v>
      </c>
      <c r="C5" s="29">
        <v>1536822</v>
      </c>
      <c r="D5" s="22">
        <v>135743</v>
      </c>
      <c r="E5" s="22">
        <v>101417</v>
      </c>
      <c r="F5" s="22">
        <v>128551</v>
      </c>
      <c r="G5" s="22">
        <v>141269</v>
      </c>
      <c r="H5" s="22">
        <v>136785</v>
      </c>
      <c r="I5" s="22">
        <v>150219</v>
      </c>
      <c r="J5" s="22">
        <v>199495</v>
      </c>
      <c r="K5" s="22">
        <v>234296</v>
      </c>
      <c r="L5" s="22">
        <v>174046</v>
      </c>
      <c r="M5" s="22">
        <v>142567</v>
      </c>
      <c r="N5" s="22">
        <v>124214</v>
      </c>
      <c r="O5" s="22">
        <v>148471</v>
      </c>
      <c r="P5" s="29">
        <f>SUM(D5:O5)</f>
        <v>1817073</v>
      </c>
      <c r="Q5" s="28">
        <v>0.182</v>
      </c>
    </row>
    <row r="6" spans="1:17" ht="12.75">
      <c r="A6" s="1" t="s">
        <v>335</v>
      </c>
      <c r="B6" s="6" t="s">
        <v>394</v>
      </c>
      <c r="C6" s="29">
        <f>P6/(1+Q6)</f>
        <v>1606718.026183283</v>
      </c>
      <c r="D6" s="22">
        <f>109867/1.008</f>
        <v>108995.03968253967</v>
      </c>
      <c r="E6" s="22"/>
      <c r="F6" s="22">
        <v>97306</v>
      </c>
      <c r="G6" s="22">
        <v>112474</v>
      </c>
      <c r="H6" s="22">
        <v>122956</v>
      </c>
      <c r="I6" s="22">
        <v>143098</v>
      </c>
      <c r="J6" s="22">
        <v>182039</v>
      </c>
      <c r="K6" s="22">
        <v>198969</v>
      </c>
      <c r="L6" s="22">
        <v>155375</v>
      </c>
      <c r="M6" s="22">
        <v>141707</v>
      </c>
      <c r="N6" s="22">
        <v>123086</v>
      </c>
      <c r="O6" s="22">
        <v>126143</v>
      </c>
      <c r="P6" s="29">
        <v>1595471</v>
      </c>
      <c r="Q6" s="28">
        <v>-0.007</v>
      </c>
    </row>
    <row r="7" spans="1:17" ht="12.75">
      <c r="A7" s="1" t="s">
        <v>156</v>
      </c>
      <c r="B7" s="6" t="s">
        <v>275</v>
      </c>
      <c r="C7" s="29">
        <v>990118</v>
      </c>
      <c r="D7" s="22">
        <v>59100</v>
      </c>
      <c r="E7" s="22">
        <v>62356</v>
      </c>
      <c r="F7" s="22">
        <v>71141</v>
      </c>
      <c r="G7" s="22">
        <v>76054</v>
      </c>
      <c r="H7" s="22">
        <v>86749</v>
      </c>
      <c r="I7" s="22">
        <v>100792</v>
      </c>
      <c r="J7" s="22">
        <v>110205</v>
      </c>
      <c r="K7" s="22">
        <v>100345</v>
      </c>
      <c r="L7" s="22">
        <v>101047</v>
      </c>
      <c r="M7" s="22">
        <v>82235</v>
      </c>
      <c r="N7" s="22">
        <v>70021</v>
      </c>
      <c r="O7" s="22">
        <v>56498</v>
      </c>
      <c r="P7" s="29">
        <f aca="true" t="shared" si="0" ref="P7:P73">SUM(D7:O7)</f>
        <v>976543</v>
      </c>
      <c r="Q7" s="28">
        <v>-0.014</v>
      </c>
    </row>
    <row r="8" spans="1:17" ht="12.75">
      <c r="A8" s="1" t="s">
        <v>156</v>
      </c>
      <c r="B8" s="6" t="s">
        <v>331</v>
      </c>
      <c r="C8" s="29">
        <v>1033384</v>
      </c>
      <c r="D8" s="22">
        <v>155082</v>
      </c>
      <c r="E8" s="22">
        <v>153839</v>
      </c>
      <c r="F8" s="22">
        <v>149265</v>
      </c>
      <c r="G8" s="22">
        <v>80083</v>
      </c>
      <c r="H8" s="22">
        <v>55411</v>
      </c>
      <c r="I8" s="22">
        <v>65577</v>
      </c>
      <c r="J8" s="38">
        <v>69845</v>
      </c>
      <c r="K8" s="38">
        <v>63149</v>
      </c>
      <c r="L8" s="38">
        <v>59512</v>
      </c>
      <c r="M8" s="22">
        <v>41497</v>
      </c>
      <c r="N8" s="22">
        <v>31746</v>
      </c>
      <c r="O8" s="22">
        <v>72061</v>
      </c>
      <c r="P8" s="29">
        <f t="shared" si="0"/>
        <v>997067</v>
      </c>
      <c r="Q8" s="28">
        <v>-0.035</v>
      </c>
    </row>
    <row r="9" spans="1:17" ht="12.75">
      <c r="A9" s="1" t="s">
        <v>156</v>
      </c>
      <c r="B9" s="6" t="s">
        <v>354</v>
      </c>
      <c r="C9" s="29">
        <v>425933</v>
      </c>
      <c r="D9" s="22">
        <v>31083</v>
      </c>
      <c r="E9" s="22">
        <v>31875</v>
      </c>
      <c r="F9" s="22">
        <v>33325</v>
      </c>
      <c r="G9" s="22">
        <v>28907</v>
      </c>
      <c r="H9" s="22">
        <v>30864</v>
      </c>
      <c r="I9" s="22">
        <v>32275</v>
      </c>
      <c r="J9" s="22">
        <v>38826</v>
      </c>
      <c r="K9" s="22">
        <v>36808</v>
      </c>
      <c r="L9" s="22">
        <v>34320</v>
      </c>
      <c r="M9" s="22">
        <v>29956</v>
      </c>
      <c r="N9" s="22">
        <v>21686</v>
      </c>
      <c r="O9" s="22">
        <v>25382</v>
      </c>
      <c r="P9" s="29">
        <f t="shared" si="0"/>
        <v>375307</v>
      </c>
      <c r="Q9" s="28">
        <v>-0.119</v>
      </c>
    </row>
    <row r="10" spans="1:17" ht="12.75">
      <c r="A10" s="1" t="s">
        <v>156</v>
      </c>
      <c r="B10" s="6" t="s">
        <v>329</v>
      </c>
      <c r="C10" s="29">
        <v>692044</v>
      </c>
      <c r="D10" s="22">
        <v>30554</v>
      </c>
      <c r="E10" s="22">
        <v>31076</v>
      </c>
      <c r="F10" s="22">
        <v>44002</v>
      </c>
      <c r="G10" s="22">
        <v>52507</v>
      </c>
      <c r="H10" s="22">
        <v>61015</v>
      </c>
      <c r="I10" s="22">
        <v>75654</v>
      </c>
      <c r="J10" s="22">
        <v>87313</v>
      </c>
      <c r="K10" s="22">
        <v>85008</v>
      </c>
      <c r="L10" s="22">
        <v>78573</v>
      </c>
      <c r="M10" s="22">
        <v>54585</v>
      </c>
      <c r="N10" s="22">
        <v>45102</v>
      </c>
      <c r="O10" s="22">
        <v>33983</v>
      </c>
      <c r="P10" s="29">
        <f t="shared" si="0"/>
        <v>679372</v>
      </c>
      <c r="Q10" s="28">
        <v>-0.018</v>
      </c>
    </row>
    <row r="11" spans="1:17" ht="12.75">
      <c r="A11" s="1" t="s">
        <v>156</v>
      </c>
      <c r="B11" s="6" t="s">
        <v>273</v>
      </c>
      <c r="C11" s="29">
        <v>1625842</v>
      </c>
      <c r="D11" s="22">
        <v>219284</v>
      </c>
      <c r="E11" s="22">
        <v>192880</v>
      </c>
      <c r="F11" s="22">
        <v>184261</v>
      </c>
      <c r="G11" s="22">
        <v>103503</v>
      </c>
      <c r="H11" s="22">
        <v>114465</v>
      </c>
      <c r="I11" s="22">
        <v>132855</v>
      </c>
      <c r="J11" s="22">
        <v>149939</v>
      </c>
      <c r="K11" s="22">
        <v>152449</v>
      </c>
      <c r="L11" s="22">
        <v>137020</v>
      </c>
      <c r="M11" s="22">
        <v>106458</v>
      </c>
      <c r="N11" s="22">
        <v>87359</v>
      </c>
      <c r="O11" s="22">
        <v>120510</v>
      </c>
      <c r="P11" s="29">
        <f t="shared" si="0"/>
        <v>1700983</v>
      </c>
      <c r="Q11" s="28">
        <v>0.046</v>
      </c>
    </row>
    <row r="12" spans="1:17" ht="12.75">
      <c r="A12" s="1" t="s">
        <v>156</v>
      </c>
      <c r="B12" s="6" t="s">
        <v>157</v>
      </c>
      <c r="C12" s="29">
        <v>19691206</v>
      </c>
      <c r="D12" s="22">
        <v>1282574</v>
      </c>
      <c r="E12" s="22">
        <v>1258317</v>
      </c>
      <c r="F12" s="22">
        <v>1565375</v>
      </c>
      <c r="G12" s="22">
        <v>1726014</v>
      </c>
      <c r="H12" s="22">
        <v>1904752</v>
      </c>
      <c r="I12" s="22">
        <v>1926162</v>
      </c>
      <c r="J12" s="22">
        <v>2154309</v>
      </c>
      <c r="K12" s="22">
        <v>2076517</v>
      </c>
      <c r="L12" s="22">
        <v>2098055</v>
      </c>
      <c r="M12" s="22">
        <v>1914554</v>
      </c>
      <c r="N12" s="22">
        <v>1624763</v>
      </c>
      <c r="O12" s="22">
        <v>1574900</v>
      </c>
      <c r="P12" s="29">
        <v>21106292</v>
      </c>
      <c r="Q12" s="28">
        <v>0.072</v>
      </c>
    </row>
    <row r="13" spans="1:17" ht="12.75">
      <c r="A13" s="1" t="s">
        <v>336</v>
      </c>
      <c r="B13" s="6" t="s">
        <v>352</v>
      </c>
      <c r="C13" s="29">
        <v>1285424</v>
      </c>
      <c r="D13" s="22">
        <v>86243</v>
      </c>
      <c r="E13" s="22">
        <v>68469</v>
      </c>
      <c r="F13" s="22">
        <v>93922</v>
      </c>
      <c r="G13" s="22">
        <v>123882</v>
      </c>
      <c r="H13" s="22">
        <v>121381</v>
      </c>
      <c r="I13" s="22">
        <v>199886</v>
      </c>
      <c r="J13" s="22">
        <v>183227</v>
      </c>
      <c r="K13" s="22">
        <v>184547</v>
      </c>
      <c r="L13" s="22"/>
      <c r="M13" s="22"/>
      <c r="N13" s="22"/>
      <c r="O13" s="22"/>
      <c r="P13" s="29">
        <f t="shared" si="0"/>
        <v>1061557</v>
      </c>
      <c r="Q13" s="28"/>
    </row>
    <row r="14" spans="1:17" ht="12.75">
      <c r="A14" s="1" t="s">
        <v>158</v>
      </c>
      <c r="B14" s="6" t="s">
        <v>274</v>
      </c>
      <c r="C14" s="29">
        <v>102472</v>
      </c>
      <c r="D14" s="22">
        <v>7785</v>
      </c>
      <c r="E14" s="22">
        <v>8435</v>
      </c>
      <c r="F14" s="22">
        <v>9279</v>
      </c>
      <c r="G14" s="22">
        <v>8578</v>
      </c>
      <c r="H14" s="22">
        <v>9736</v>
      </c>
      <c r="I14" s="22">
        <v>9989</v>
      </c>
      <c r="J14" s="22">
        <v>8815</v>
      </c>
      <c r="K14" s="22">
        <v>7001</v>
      </c>
      <c r="L14" s="22">
        <v>9652</v>
      </c>
      <c r="M14" s="22">
        <v>9353</v>
      </c>
      <c r="N14" s="22">
        <v>8673</v>
      </c>
      <c r="O14" s="22">
        <v>8170</v>
      </c>
      <c r="P14" s="29">
        <f t="shared" si="0"/>
        <v>105466</v>
      </c>
      <c r="Q14" s="28">
        <f>P14/C14-1</f>
        <v>0.02921773752830048</v>
      </c>
    </row>
    <row r="15" spans="1:17" ht="12.75">
      <c r="A15" s="1" t="s">
        <v>158</v>
      </c>
      <c r="B15" s="6" t="s">
        <v>259</v>
      </c>
      <c r="C15" s="29">
        <v>5195372</v>
      </c>
      <c r="D15" s="22">
        <v>378664</v>
      </c>
      <c r="E15" s="22">
        <v>372871</v>
      </c>
      <c r="F15" s="22">
        <v>451090</v>
      </c>
      <c r="G15" s="22">
        <v>506177</v>
      </c>
      <c r="H15" s="22">
        <v>537180</v>
      </c>
      <c r="I15" s="22">
        <v>524343</v>
      </c>
      <c r="J15" s="22">
        <v>595903</v>
      </c>
      <c r="K15" s="22">
        <v>589145</v>
      </c>
      <c r="L15" s="22">
        <v>563772</v>
      </c>
      <c r="M15" s="22">
        <v>553882</v>
      </c>
      <c r="N15" s="22">
        <v>415259</v>
      </c>
      <c r="O15" s="22">
        <v>412721</v>
      </c>
      <c r="P15" s="29">
        <f t="shared" si="0"/>
        <v>5901007</v>
      </c>
      <c r="Q15" s="28">
        <f>P15/5195372-1</f>
        <v>0.13581991818872652</v>
      </c>
    </row>
    <row r="16" spans="1:17" ht="12.75">
      <c r="A16" s="1" t="s">
        <v>158</v>
      </c>
      <c r="B16" s="6" t="s">
        <v>276</v>
      </c>
      <c r="C16" s="29">
        <v>17181000</v>
      </c>
      <c r="D16" s="22">
        <v>1121000</v>
      </c>
      <c r="E16" s="22">
        <v>1092000</v>
      </c>
      <c r="F16" s="22">
        <v>1406000</v>
      </c>
      <c r="G16" s="22">
        <v>1607000</v>
      </c>
      <c r="H16" s="22">
        <v>1705000</v>
      </c>
      <c r="I16" s="22">
        <v>1727511</v>
      </c>
      <c r="J16" s="22">
        <v>2033101</v>
      </c>
      <c r="K16" s="22">
        <v>1902126</v>
      </c>
      <c r="L16" s="22">
        <v>1890713</v>
      </c>
      <c r="M16" s="22">
        <v>1673943</v>
      </c>
      <c r="N16" s="22">
        <v>1377532</v>
      </c>
      <c r="O16" s="22">
        <v>1249308</v>
      </c>
      <c r="P16" s="29">
        <v>18786034</v>
      </c>
      <c r="Q16" s="28">
        <v>0.093</v>
      </c>
    </row>
    <row r="17" spans="1:17" ht="12.75">
      <c r="A17" s="1" t="s">
        <v>158</v>
      </c>
      <c r="B17" s="6" t="s">
        <v>396</v>
      </c>
      <c r="C17" s="29">
        <f>P17/(1+Q17)</f>
        <v>296677.3566569485</v>
      </c>
      <c r="D17" s="22">
        <v>8514</v>
      </c>
      <c r="E17" s="22">
        <v>8663</v>
      </c>
      <c r="F17" s="22">
        <v>11903</v>
      </c>
      <c r="G17" s="22">
        <v>19620</v>
      </c>
      <c r="H17" s="22">
        <v>26408</v>
      </c>
      <c r="I17" s="22">
        <v>37000</v>
      </c>
      <c r="J17" s="22">
        <v>56335</v>
      </c>
      <c r="K17" s="22">
        <v>58389</v>
      </c>
      <c r="L17" s="22">
        <v>36376</v>
      </c>
      <c r="M17" s="22">
        <v>19457</v>
      </c>
      <c r="N17" s="22">
        <v>13115</v>
      </c>
      <c r="O17" s="22">
        <v>9501</v>
      </c>
      <c r="P17" s="29">
        <v>305281</v>
      </c>
      <c r="Q17" s="28">
        <v>0.029</v>
      </c>
    </row>
    <row r="18" spans="1:17" ht="12.75">
      <c r="A18" s="1" t="s">
        <v>315</v>
      </c>
      <c r="B18" s="6" t="s">
        <v>316</v>
      </c>
      <c r="C18" s="29">
        <v>563266</v>
      </c>
      <c r="D18" s="22">
        <v>30484</v>
      </c>
      <c r="E18" s="22">
        <v>34148</v>
      </c>
      <c r="F18" s="22">
        <v>40803</v>
      </c>
      <c r="G18" s="22">
        <v>49489</v>
      </c>
      <c r="H18" s="22">
        <v>56812</v>
      </c>
      <c r="I18" s="22">
        <v>62994</v>
      </c>
      <c r="J18" s="22">
        <v>81042</v>
      </c>
      <c r="K18" s="22">
        <v>59042</v>
      </c>
      <c r="L18" s="22">
        <v>59074</v>
      </c>
      <c r="M18" s="22">
        <v>52957</v>
      </c>
      <c r="N18" s="22">
        <v>39785</v>
      </c>
      <c r="O18" s="22">
        <v>33348</v>
      </c>
      <c r="P18" s="29">
        <v>599978</v>
      </c>
      <c r="Q18" s="28">
        <f>P18/C18-1</f>
        <v>0.06517702115874213</v>
      </c>
    </row>
    <row r="19" spans="1:17" ht="12.75">
      <c r="A19" s="1" t="s">
        <v>230</v>
      </c>
      <c r="B19" s="6" t="s">
        <v>277</v>
      </c>
      <c r="C19" s="29">
        <v>1894109</v>
      </c>
      <c r="D19" s="22">
        <v>8325</v>
      </c>
      <c r="E19" s="22">
        <v>10541</v>
      </c>
      <c r="F19" s="22">
        <v>10518</v>
      </c>
      <c r="G19" s="22">
        <v>19527</v>
      </c>
      <c r="H19" s="22">
        <v>94006</v>
      </c>
      <c r="I19" s="22">
        <v>390475</v>
      </c>
      <c r="J19" s="22">
        <v>659253</v>
      </c>
      <c r="K19" s="22">
        <v>645291</v>
      </c>
      <c r="L19" s="22">
        <v>323864</v>
      </c>
      <c r="M19" s="22">
        <v>47309</v>
      </c>
      <c r="N19" s="22">
        <v>20449</v>
      </c>
      <c r="O19" s="23">
        <v>23762</v>
      </c>
      <c r="P19" s="29">
        <f t="shared" si="0"/>
        <v>2253320</v>
      </c>
      <c r="Q19" s="28">
        <v>0.19</v>
      </c>
    </row>
    <row r="20" spans="1:17" ht="12.75">
      <c r="A20" s="1" t="s">
        <v>230</v>
      </c>
      <c r="B20" s="6" t="s">
        <v>231</v>
      </c>
      <c r="C20" s="29">
        <v>3296936</v>
      </c>
      <c r="D20" s="24">
        <v>266516</v>
      </c>
      <c r="E20" s="24">
        <v>243107</v>
      </c>
      <c r="F20" s="24">
        <v>269332</v>
      </c>
      <c r="G20" s="24">
        <v>282694</v>
      </c>
      <c r="H20" s="24">
        <v>310866</v>
      </c>
      <c r="I20" s="24">
        <v>309792</v>
      </c>
      <c r="J20" s="24">
        <v>336506</v>
      </c>
      <c r="K20" s="24">
        <v>349016</v>
      </c>
      <c r="L20" s="24">
        <v>330316</v>
      </c>
      <c r="M20" s="24">
        <v>283831</v>
      </c>
      <c r="N20" s="24">
        <v>233050</v>
      </c>
      <c r="O20" s="24">
        <v>259969</v>
      </c>
      <c r="P20" s="29">
        <v>3474993</v>
      </c>
      <c r="Q20" s="28">
        <f>P20/C20-1</f>
        <v>0.05400681117255535</v>
      </c>
    </row>
    <row r="21" spans="1:17" ht="12.75">
      <c r="A21" s="1" t="s">
        <v>230</v>
      </c>
      <c r="B21" s="6" t="s">
        <v>278</v>
      </c>
      <c r="C21" s="29">
        <v>1227442</v>
      </c>
      <c r="D21" s="22">
        <v>20334</v>
      </c>
      <c r="E21" s="22">
        <v>18332</v>
      </c>
      <c r="F21" s="22">
        <v>26359</v>
      </c>
      <c r="G21" s="22">
        <v>31629</v>
      </c>
      <c r="H21" s="22">
        <v>74750</v>
      </c>
      <c r="I21" s="22">
        <v>208792</v>
      </c>
      <c r="J21" s="22">
        <v>299282</v>
      </c>
      <c r="K21" s="22">
        <v>297553</v>
      </c>
      <c r="L21" s="22">
        <v>182318</v>
      </c>
      <c r="M21" s="22">
        <v>22483</v>
      </c>
      <c r="N21" s="22">
        <v>0</v>
      </c>
      <c r="O21" s="22">
        <v>0</v>
      </c>
      <c r="P21" s="29">
        <f t="shared" si="0"/>
        <v>1181832</v>
      </c>
      <c r="Q21" s="28">
        <v>-0.037</v>
      </c>
    </row>
    <row r="22" spans="1:17" ht="12.75">
      <c r="A22" s="1" t="s">
        <v>221</v>
      </c>
      <c r="B22" s="6" t="s">
        <v>222</v>
      </c>
      <c r="C22" s="29">
        <v>1270062</v>
      </c>
      <c r="D22" s="22">
        <v>21288</v>
      </c>
      <c r="E22" s="22">
        <v>17485</v>
      </c>
      <c r="F22" s="22">
        <v>25228</v>
      </c>
      <c r="G22" s="22">
        <v>77946</v>
      </c>
      <c r="H22" s="22">
        <v>144253</v>
      </c>
      <c r="I22" s="22">
        <v>181608</v>
      </c>
      <c r="J22" s="22">
        <v>256305</v>
      </c>
      <c r="K22" s="22">
        <v>264651</v>
      </c>
      <c r="L22" s="22">
        <v>205936</v>
      </c>
      <c r="M22" s="22">
        <v>109129</v>
      </c>
      <c r="N22" s="22">
        <v>26483</v>
      </c>
      <c r="O22" s="22">
        <v>19189</v>
      </c>
      <c r="P22" s="29">
        <f t="shared" si="0"/>
        <v>1349501</v>
      </c>
      <c r="Q22" s="28">
        <f aca="true" t="shared" si="1" ref="Q22:Q28">P22/C22-1</f>
        <v>0.06254734020858832</v>
      </c>
    </row>
    <row r="23" spans="1:17" ht="12.75">
      <c r="A23" s="1" t="s">
        <v>221</v>
      </c>
      <c r="B23" s="6" t="s">
        <v>322</v>
      </c>
      <c r="C23" s="29">
        <v>323986</v>
      </c>
      <c r="D23" s="22">
        <v>921</v>
      </c>
      <c r="E23" s="22">
        <v>1219</v>
      </c>
      <c r="F23" s="22">
        <v>1562</v>
      </c>
      <c r="G23" s="22">
        <v>11711</v>
      </c>
      <c r="H23" s="22">
        <v>26440</v>
      </c>
      <c r="I23" s="22">
        <v>57408</v>
      </c>
      <c r="J23" s="22">
        <v>88479</v>
      </c>
      <c r="K23" s="22">
        <v>89806</v>
      </c>
      <c r="L23" s="22">
        <v>57071</v>
      </c>
      <c r="M23" s="22">
        <v>16053</v>
      </c>
      <c r="N23" s="22">
        <v>1139</v>
      </c>
      <c r="O23" s="22">
        <v>1020</v>
      </c>
      <c r="P23" s="29">
        <f t="shared" si="0"/>
        <v>352829</v>
      </c>
      <c r="Q23" s="28">
        <f t="shared" si="1"/>
        <v>0.08902545171704945</v>
      </c>
    </row>
    <row r="24" spans="1:17" ht="12.75">
      <c r="A24" s="1" t="s">
        <v>221</v>
      </c>
      <c r="B24" s="6" t="s">
        <v>232</v>
      </c>
      <c r="C24" s="29">
        <v>1219741</v>
      </c>
      <c r="D24" s="22">
        <v>24579</v>
      </c>
      <c r="E24" s="22">
        <v>22809</v>
      </c>
      <c r="F24" s="22">
        <v>29471</v>
      </c>
      <c r="G24" s="22">
        <v>65652</v>
      </c>
      <c r="H24" s="22">
        <v>113879</v>
      </c>
      <c r="I24" s="22">
        <v>172119</v>
      </c>
      <c r="J24" s="22">
        <v>274063</v>
      </c>
      <c r="K24" s="22">
        <v>259664</v>
      </c>
      <c r="L24" s="22">
        <v>185462</v>
      </c>
      <c r="M24" s="22">
        <v>95679</v>
      </c>
      <c r="N24" s="22">
        <v>28905</v>
      </c>
      <c r="O24" s="22">
        <v>28099</v>
      </c>
      <c r="P24" s="29">
        <f t="shared" si="0"/>
        <v>1300381</v>
      </c>
      <c r="Q24" s="28">
        <f t="shared" si="1"/>
        <v>0.06611239599226404</v>
      </c>
    </row>
    <row r="25" spans="1:17" ht="12.75">
      <c r="A25" s="1" t="s">
        <v>221</v>
      </c>
      <c r="B25" s="6" t="s">
        <v>321</v>
      </c>
      <c r="C25" s="29">
        <v>275272</v>
      </c>
      <c r="D25" s="22">
        <v>1916</v>
      </c>
      <c r="E25" s="22">
        <v>1916</v>
      </c>
      <c r="F25" s="22">
        <v>3999</v>
      </c>
      <c r="G25" s="22">
        <v>24679</v>
      </c>
      <c r="H25" s="22">
        <v>31976</v>
      </c>
      <c r="I25" s="22">
        <v>39776</v>
      </c>
      <c r="J25" s="22">
        <v>54210</v>
      </c>
      <c r="K25" s="22">
        <v>53592</v>
      </c>
      <c r="L25" s="22">
        <v>39748</v>
      </c>
      <c r="M25" s="22">
        <v>28228</v>
      </c>
      <c r="N25" s="22">
        <v>2733</v>
      </c>
      <c r="O25" s="22">
        <v>2207</v>
      </c>
      <c r="P25" s="29">
        <f t="shared" si="0"/>
        <v>284980</v>
      </c>
      <c r="Q25" s="28">
        <f t="shared" si="1"/>
        <v>0.03526693597605268</v>
      </c>
    </row>
    <row r="26" spans="1:17" ht="12.75">
      <c r="A26" s="1" t="s">
        <v>221</v>
      </c>
      <c r="B26" s="6" t="s">
        <v>233</v>
      </c>
      <c r="C26" s="29">
        <v>2071561</v>
      </c>
      <c r="D26" s="22">
        <v>138370</v>
      </c>
      <c r="E26" s="22">
        <v>125978</v>
      </c>
      <c r="F26" s="22">
        <v>160113</v>
      </c>
      <c r="G26" s="22">
        <v>191032</v>
      </c>
      <c r="H26" s="22">
        <v>218411</v>
      </c>
      <c r="I26" s="22">
        <v>230174</v>
      </c>
      <c r="J26" s="22">
        <v>256759</v>
      </c>
      <c r="K26" s="22">
        <v>249774</v>
      </c>
      <c r="L26" s="22">
        <v>241575</v>
      </c>
      <c r="M26" s="22">
        <v>208569</v>
      </c>
      <c r="N26" s="22">
        <v>157282</v>
      </c>
      <c r="O26" s="22">
        <v>141061</v>
      </c>
      <c r="P26" s="29">
        <v>2320098</v>
      </c>
      <c r="Q26" s="28">
        <f t="shared" si="1"/>
        <v>0.11997570913914668</v>
      </c>
    </row>
    <row r="27" spans="1:17" ht="12.75">
      <c r="A27" s="1" t="s">
        <v>241</v>
      </c>
      <c r="B27" s="6" t="s">
        <v>242</v>
      </c>
      <c r="C27" s="29">
        <v>5367724</v>
      </c>
      <c r="D27" s="35">
        <v>233103</v>
      </c>
      <c r="E27" s="35">
        <v>208243</v>
      </c>
      <c r="F27" s="35">
        <v>276514</v>
      </c>
      <c r="G27" s="35">
        <v>440498</v>
      </c>
      <c r="H27" s="35">
        <v>520588</v>
      </c>
      <c r="I27" s="35">
        <v>601467</v>
      </c>
      <c r="J27" s="35">
        <v>749156</v>
      </c>
      <c r="K27" s="35">
        <v>777307</v>
      </c>
      <c r="L27" s="35">
        <v>626723</v>
      </c>
      <c r="M27" s="35">
        <v>572100</v>
      </c>
      <c r="N27" s="35">
        <v>269713</v>
      </c>
      <c r="O27" s="35">
        <v>232350</v>
      </c>
      <c r="P27" s="29">
        <f t="shared" si="0"/>
        <v>5507762</v>
      </c>
      <c r="Q27" s="28">
        <f t="shared" si="1"/>
        <v>0.026088897268190303</v>
      </c>
    </row>
    <row r="28" spans="1:17" ht="12.75">
      <c r="A28" s="1" t="s">
        <v>241</v>
      </c>
      <c r="B28" s="6" t="s">
        <v>244</v>
      </c>
      <c r="C28" s="29">
        <v>1613546</v>
      </c>
      <c r="D28" s="35">
        <v>48423</v>
      </c>
      <c r="E28" s="35">
        <v>53340</v>
      </c>
      <c r="F28" s="35">
        <v>79483</v>
      </c>
      <c r="G28" s="35">
        <v>137232</v>
      </c>
      <c r="H28" s="35">
        <v>184314</v>
      </c>
      <c r="I28" s="35">
        <v>208134</v>
      </c>
      <c r="J28" s="35">
        <v>233322</v>
      </c>
      <c r="K28" s="35">
        <v>245706</v>
      </c>
      <c r="L28" s="35">
        <v>218585</v>
      </c>
      <c r="M28" s="35">
        <v>207314</v>
      </c>
      <c r="N28" s="35">
        <v>101147</v>
      </c>
      <c r="O28" s="35">
        <v>61898</v>
      </c>
      <c r="P28" s="29">
        <f t="shared" si="0"/>
        <v>1778898</v>
      </c>
      <c r="Q28" s="28">
        <f t="shared" si="1"/>
        <v>0.10247740070627054</v>
      </c>
    </row>
    <row r="29" spans="1:17" ht="12.75">
      <c r="A29" s="1" t="s">
        <v>224</v>
      </c>
      <c r="B29" s="6" t="s">
        <v>225</v>
      </c>
      <c r="C29" s="29">
        <v>11556858</v>
      </c>
      <c r="D29" s="22">
        <v>658082</v>
      </c>
      <c r="E29" s="22">
        <v>641394</v>
      </c>
      <c r="F29" s="22">
        <v>834973</v>
      </c>
      <c r="G29" s="22">
        <v>1003604</v>
      </c>
      <c r="H29" s="22">
        <v>1079858</v>
      </c>
      <c r="I29" s="22">
        <v>1180733</v>
      </c>
      <c r="J29" s="22">
        <v>1324531</v>
      </c>
      <c r="K29" s="22">
        <v>1310674</v>
      </c>
      <c r="L29" s="22">
        <v>1218856</v>
      </c>
      <c r="M29" s="22">
        <v>1033737</v>
      </c>
      <c r="N29" s="22">
        <v>755445</v>
      </c>
      <c r="O29" s="22">
        <v>746742</v>
      </c>
      <c r="P29" s="29">
        <f t="shared" si="0"/>
        <v>11788629</v>
      </c>
      <c r="Q29" s="28">
        <v>0.02</v>
      </c>
    </row>
    <row r="30" spans="1:17" ht="12.75">
      <c r="A30" s="1" t="s">
        <v>153</v>
      </c>
      <c r="B30" s="6" t="s">
        <v>319</v>
      </c>
      <c r="C30" s="29">
        <v>1343354</v>
      </c>
      <c r="D30" s="22">
        <v>97838</v>
      </c>
      <c r="E30" s="22">
        <v>98828</v>
      </c>
      <c r="F30" s="22">
        <v>114546</v>
      </c>
      <c r="G30" s="22">
        <v>105180</v>
      </c>
      <c r="H30" s="22">
        <v>124760</v>
      </c>
      <c r="I30" s="22">
        <v>130316</v>
      </c>
      <c r="J30" s="22">
        <v>126589</v>
      </c>
      <c r="K30" s="22">
        <v>120376</v>
      </c>
      <c r="L30" s="22">
        <v>130654</v>
      </c>
      <c r="M30" s="22">
        <v>124340</v>
      </c>
      <c r="N30" s="22">
        <v>116225</v>
      </c>
      <c r="O30" s="22">
        <v>102208</v>
      </c>
      <c r="P30" s="29">
        <f t="shared" si="0"/>
        <v>1391860</v>
      </c>
      <c r="Q30" s="28">
        <f>P30/C30-1</f>
        <v>0.03610812935384122</v>
      </c>
    </row>
    <row r="31" spans="1:17" ht="12.75">
      <c r="A31" s="1" t="s">
        <v>153</v>
      </c>
      <c r="B31" s="6" t="s">
        <v>320</v>
      </c>
      <c r="C31" s="29">
        <v>561542</v>
      </c>
      <c r="D31" s="22">
        <v>34904</v>
      </c>
      <c r="E31" s="22">
        <v>36210</v>
      </c>
      <c r="F31" s="22">
        <v>51042</v>
      </c>
      <c r="G31" s="22">
        <v>54383</v>
      </c>
      <c r="H31" s="22">
        <v>58828</v>
      </c>
      <c r="I31" s="22">
        <v>58017</v>
      </c>
      <c r="J31" s="22">
        <v>55299</v>
      </c>
      <c r="K31" s="22">
        <v>53694</v>
      </c>
      <c r="L31" s="22">
        <v>57444</v>
      </c>
      <c r="M31" s="22">
        <v>54999</v>
      </c>
      <c r="N31" s="22">
        <v>40239</v>
      </c>
      <c r="O31" s="22">
        <v>33166</v>
      </c>
      <c r="P31" s="29">
        <f t="shared" si="0"/>
        <v>588225</v>
      </c>
      <c r="Q31" s="28">
        <f>P31/C31-1</f>
        <v>0.047517371808341924</v>
      </c>
    </row>
    <row r="32" spans="1:17" ht="12.75">
      <c r="A32" s="1" t="s">
        <v>153</v>
      </c>
      <c r="B32" s="6" t="s">
        <v>176</v>
      </c>
      <c r="C32" s="29">
        <v>2574340</v>
      </c>
      <c r="D32" s="22">
        <v>159538</v>
      </c>
      <c r="E32" s="22">
        <v>156528</v>
      </c>
      <c r="F32" s="22">
        <v>188732</v>
      </c>
      <c r="G32" s="22">
        <v>219582</v>
      </c>
      <c r="H32" s="22">
        <v>239230</v>
      </c>
      <c r="I32" s="22">
        <v>270663</v>
      </c>
      <c r="J32" s="22">
        <v>360749</v>
      </c>
      <c r="K32" s="22">
        <v>279841</v>
      </c>
      <c r="L32" s="22">
        <v>264706</v>
      </c>
      <c r="M32" s="22">
        <v>258635</v>
      </c>
      <c r="N32" s="22">
        <v>164853</v>
      </c>
      <c r="O32" s="22">
        <v>147459</v>
      </c>
      <c r="P32" s="29">
        <f t="shared" si="0"/>
        <v>2710516</v>
      </c>
      <c r="Q32" s="28">
        <f>P32/C32-1</f>
        <v>0.052897441674370826</v>
      </c>
    </row>
    <row r="33" spans="1:17" ht="12.75">
      <c r="A33" s="1" t="s">
        <v>153</v>
      </c>
      <c r="B33" s="6" t="s">
        <v>154</v>
      </c>
      <c r="C33" s="29">
        <v>21501750</v>
      </c>
      <c r="D33" s="22">
        <v>1502243</v>
      </c>
      <c r="E33" s="22">
        <v>1522458</v>
      </c>
      <c r="F33" s="22">
        <v>1777460</v>
      </c>
      <c r="G33" s="22">
        <v>1828880</v>
      </c>
      <c r="H33" s="22">
        <v>2031908</v>
      </c>
      <c r="I33" s="22">
        <v>2152383</v>
      </c>
      <c r="J33" s="22">
        <v>2283586</v>
      </c>
      <c r="K33" s="22">
        <v>2116128</v>
      </c>
      <c r="L33" s="22">
        <v>2101596</v>
      </c>
      <c r="M33" s="22">
        <v>2055060</v>
      </c>
      <c r="N33" s="22">
        <v>1761409</v>
      </c>
      <c r="O33" s="22">
        <v>1592406</v>
      </c>
      <c r="P33" s="29">
        <f t="shared" si="0"/>
        <v>22725517</v>
      </c>
      <c r="Q33" s="28">
        <v>0.057</v>
      </c>
    </row>
    <row r="34" spans="1:17" ht="12.75">
      <c r="A34" s="1" t="s">
        <v>228</v>
      </c>
      <c r="B34" s="6" t="s">
        <v>229</v>
      </c>
      <c r="C34" s="29">
        <v>1384831</v>
      </c>
      <c r="D34" s="22">
        <v>111205</v>
      </c>
      <c r="E34" s="22">
        <v>104199</v>
      </c>
      <c r="F34" s="22">
        <v>137257</v>
      </c>
      <c r="G34" s="22">
        <v>149705</v>
      </c>
      <c r="H34" s="22">
        <v>180751</v>
      </c>
      <c r="I34" s="22">
        <v>186945</v>
      </c>
      <c r="J34" s="22">
        <v>189026</v>
      </c>
      <c r="K34" s="22">
        <v>193321</v>
      </c>
      <c r="L34" s="22">
        <v>185359</v>
      </c>
      <c r="M34" s="22">
        <v>180105</v>
      </c>
      <c r="N34" s="22">
        <v>152219</v>
      </c>
      <c r="O34" s="22">
        <v>143080</v>
      </c>
      <c r="P34" s="29">
        <f t="shared" si="0"/>
        <v>1913172</v>
      </c>
      <c r="Q34" s="28">
        <v>0.382</v>
      </c>
    </row>
    <row r="35" spans="1:17" ht="12.75">
      <c r="A35" s="1" t="s">
        <v>163</v>
      </c>
      <c r="B35" s="6" t="s">
        <v>66</v>
      </c>
      <c r="C35" s="29">
        <v>16417198</v>
      </c>
      <c r="D35" s="22">
        <v>1357422</v>
      </c>
      <c r="E35" s="22">
        <v>1346975</v>
      </c>
      <c r="F35" s="22">
        <v>1624174</v>
      </c>
      <c r="G35" s="22">
        <v>1621121</v>
      </c>
      <c r="H35" s="22">
        <v>1675272</v>
      </c>
      <c r="I35" s="22">
        <v>1764554</v>
      </c>
      <c r="J35" s="22">
        <v>1673399</v>
      </c>
      <c r="K35" s="22">
        <v>1629023</v>
      </c>
      <c r="L35" s="22">
        <v>1669805</v>
      </c>
      <c r="M35" s="22">
        <v>1697014</v>
      </c>
      <c r="N35" s="22">
        <v>1439345</v>
      </c>
      <c r="O35" s="22">
        <v>1573007</v>
      </c>
      <c r="P35" s="29">
        <v>19088239</v>
      </c>
      <c r="Q35" s="28">
        <v>0.16</v>
      </c>
    </row>
    <row r="36" spans="1:17" ht="12.75">
      <c r="A36" s="1" t="s">
        <v>163</v>
      </c>
      <c r="B36" s="6" t="s">
        <v>164</v>
      </c>
      <c r="C36" s="29">
        <v>12837700</v>
      </c>
      <c r="D36" s="22">
        <v>1039612</v>
      </c>
      <c r="E36" s="22">
        <v>1028423</v>
      </c>
      <c r="F36" s="22">
        <v>1226652</v>
      </c>
      <c r="G36" s="22">
        <v>1232573</v>
      </c>
      <c r="H36" s="22">
        <v>1308006</v>
      </c>
      <c r="I36" s="22">
        <v>1424567</v>
      </c>
      <c r="J36" s="22">
        <v>1399992</v>
      </c>
      <c r="K36" s="22">
        <v>1323073</v>
      </c>
      <c r="L36" s="22">
        <v>1305366</v>
      </c>
      <c r="M36" s="22">
        <v>1327821</v>
      </c>
      <c r="N36" s="22">
        <v>1104769</v>
      </c>
      <c r="O36" s="22">
        <v>1136182</v>
      </c>
      <c r="P36" s="29">
        <v>14865871</v>
      </c>
      <c r="Q36" s="28">
        <v>0.155</v>
      </c>
    </row>
    <row r="37" spans="1:17" ht="12.75">
      <c r="A37" s="1" t="s">
        <v>163</v>
      </c>
      <c r="B37" s="6" t="s">
        <v>285</v>
      </c>
      <c r="C37" s="29">
        <v>111916</v>
      </c>
      <c r="D37" s="22">
        <v>11489</v>
      </c>
      <c r="E37" s="22">
        <v>13391</v>
      </c>
      <c r="F37" s="22">
        <v>18156</v>
      </c>
      <c r="G37" s="22">
        <v>12507</v>
      </c>
      <c r="H37" s="22">
        <v>2441</v>
      </c>
      <c r="I37" s="22">
        <v>4842</v>
      </c>
      <c r="J37" s="22">
        <v>9067</v>
      </c>
      <c r="K37" s="22">
        <v>6823</v>
      </c>
      <c r="L37" s="22">
        <v>7997</v>
      </c>
      <c r="M37" s="22">
        <v>2793</v>
      </c>
      <c r="N37" s="22">
        <v>6197</v>
      </c>
      <c r="O37" s="22">
        <v>29567</v>
      </c>
      <c r="P37" s="29">
        <v>125535</v>
      </c>
      <c r="Q37" s="28">
        <v>0.121</v>
      </c>
    </row>
    <row r="38" spans="1:17" ht="12.75">
      <c r="A38" s="1" t="s">
        <v>163</v>
      </c>
      <c r="B38" s="6" t="s">
        <v>286</v>
      </c>
      <c r="C38" s="29">
        <v>118778</v>
      </c>
      <c r="D38" s="22">
        <v>9268</v>
      </c>
      <c r="E38" s="22">
        <v>9337</v>
      </c>
      <c r="F38" s="22">
        <v>10398</v>
      </c>
      <c r="G38" s="22">
        <v>9884</v>
      </c>
      <c r="H38" s="22">
        <v>12883</v>
      </c>
      <c r="I38" s="22">
        <v>8018</v>
      </c>
      <c r="J38" s="22">
        <v>4257</v>
      </c>
      <c r="K38" s="22">
        <v>6493</v>
      </c>
      <c r="L38" s="22">
        <v>12324</v>
      </c>
      <c r="M38" s="22">
        <v>11656</v>
      </c>
      <c r="N38" s="22">
        <v>12183</v>
      </c>
      <c r="O38" s="22">
        <v>10413</v>
      </c>
      <c r="P38" s="29">
        <f t="shared" si="0"/>
        <v>117114</v>
      </c>
      <c r="Q38" s="28">
        <v>-0.014</v>
      </c>
    </row>
    <row r="39" spans="1:17" ht="12.75">
      <c r="A39" s="1" t="s">
        <v>163</v>
      </c>
      <c r="B39" s="6" t="s">
        <v>287</v>
      </c>
      <c r="C39" s="29">
        <v>211548</v>
      </c>
      <c r="D39" s="22">
        <v>37463</v>
      </c>
      <c r="E39" s="22">
        <v>33639</v>
      </c>
      <c r="F39" s="22">
        <v>45989</v>
      </c>
      <c r="G39" s="22">
        <v>36370</v>
      </c>
      <c r="H39" s="22">
        <v>2274</v>
      </c>
      <c r="I39" s="22">
        <v>1732</v>
      </c>
      <c r="J39" s="22">
        <v>1651</v>
      </c>
      <c r="K39" s="22">
        <v>2370</v>
      </c>
      <c r="L39" s="22">
        <v>8618</v>
      </c>
      <c r="M39" s="22">
        <v>3048</v>
      </c>
      <c r="N39" s="22">
        <v>9828</v>
      </c>
      <c r="O39" s="22">
        <v>55179</v>
      </c>
      <c r="P39" s="29">
        <v>238538</v>
      </c>
      <c r="Q39" s="28">
        <v>0.113</v>
      </c>
    </row>
    <row r="40" spans="1:17" ht="12.75">
      <c r="A40" s="1" t="s">
        <v>163</v>
      </c>
      <c r="B40" s="6" t="s">
        <v>288</v>
      </c>
      <c r="C40" s="29">
        <v>253424</v>
      </c>
      <c r="D40" s="22">
        <v>21065</v>
      </c>
      <c r="E40" s="22">
        <v>22161</v>
      </c>
      <c r="F40" s="22">
        <v>28456</v>
      </c>
      <c r="G40" s="22">
        <v>26954</v>
      </c>
      <c r="H40" s="22">
        <v>29567</v>
      </c>
      <c r="I40" s="22">
        <v>22333</v>
      </c>
      <c r="J40" s="22">
        <v>11774</v>
      </c>
      <c r="K40" s="22">
        <v>19840</v>
      </c>
      <c r="L40" s="22">
        <v>27425</v>
      </c>
      <c r="M40" s="22">
        <v>27022</v>
      </c>
      <c r="N40" s="22">
        <v>26565</v>
      </c>
      <c r="O40" s="22">
        <v>21094</v>
      </c>
      <c r="P40" s="29">
        <v>284405</v>
      </c>
      <c r="Q40" s="28">
        <v>0.121</v>
      </c>
    </row>
    <row r="41" spans="1:17" ht="12.75">
      <c r="A41" s="1" t="s">
        <v>163</v>
      </c>
      <c r="B41" s="6" t="s">
        <v>195</v>
      </c>
      <c r="C41" s="29">
        <v>699917</v>
      </c>
      <c r="D41" s="22">
        <v>63779</v>
      </c>
      <c r="E41" s="22">
        <v>63885</v>
      </c>
      <c r="F41" s="22">
        <v>73199</v>
      </c>
      <c r="G41" s="22">
        <v>82535</v>
      </c>
      <c r="H41" s="22">
        <v>96184</v>
      </c>
      <c r="I41" s="22">
        <v>88698</v>
      </c>
      <c r="J41" s="22">
        <v>64646</v>
      </c>
      <c r="K41" s="22">
        <v>75266</v>
      </c>
      <c r="L41" s="22">
        <v>91344</v>
      </c>
      <c r="M41" s="22">
        <v>97373</v>
      </c>
      <c r="N41" s="22">
        <v>91917</v>
      </c>
      <c r="O41" s="22">
        <v>84967</v>
      </c>
      <c r="P41" s="29">
        <v>973912</v>
      </c>
      <c r="Q41" s="28">
        <v>0.391</v>
      </c>
    </row>
    <row r="42" spans="1:17" ht="12.75">
      <c r="A42" s="1" t="s">
        <v>163</v>
      </c>
      <c r="B42" s="6" t="s">
        <v>289</v>
      </c>
      <c r="C42" s="29">
        <v>309253</v>
      </c>
      <c r="D42" s="22">
        <v>33774</v>
      </c>
      <c r="E42" s="22">
        <v>30377</v>
      </c>
      <c r="F42" s="22">
        <v>34256</v>
      </c>
      <c r="G42" s="22">
        <v>25525</v>
      </c>
      <c r="H42" s="22">
        <v>25809</v>
      </c>
      <c r="I42" s="22">
        <v>32140</v>
      </c>
      <c r="J42" s="22">
        <v>30584</v>
      </c>
      <c r="K42" s="22">
        <v>28836</v>
      </c>
      <c r="L42" s="22">
        <v>26806</v>
      </c>
      <c r="M42" s="22">
        <v>26921</v>
      </c>
      <c r="N42" s="22">
        <v>27917</v>
      </c>
      <c r="O42" s="22">
        <v>72307</v>
      </c>
      <c r="P42" s="29">
        <v>396825</v>
      </c>
      <c r="Q42" s="28">
        <v>0.281</v>
      </c>
    </row>
    <row r="43" spans="1:17" ht="12.75">
      <c r="A43" s="1" t="s">
        <v>163</v>
      </c>
      <c r="B43" s="6" t="s">
        <v>196</v>
      </c>
      <c r="C43" s="29">
        <v>616150</v>
      </c>
      <c r="D43" s="22">
        <v>34706</v>
      </c>
      <c r="E43" s="22">
        <v>39167</v>
      </c>
      <c r="F43" s="22">
        <v>53807</v>
      </c>
      <c r="G43" s="22">
        <v>63615</v>
      </c>
      <c r="H43" s="22">
        <v>63671</v>
      </c>
      <c r="I43" s="22">
        <v>68918</v>
      </c>
      <c r="J43" s="22">
        <v>70211</v>
      </c>
      <c r="K43" s="22">
        <v>64507</v>
      </c>
      <c r="L43" s="22">
        <v>59971</v>
      </c>
      <c r="M43" s="22">
        <v>67091</v>
      </c>
      <c r="N43" s="22">
        <v>36829</v>
      </c>
      <c r="O43" s="22">
        <v>34558</v>
      </c>
      <c r="P43" s="29">
        <v>657630</v>
      </c>
      <c r="Q43" s="28">
        <v>0.065</v>
      </c>
    </row>
    <row r="44" spans="1:17" ht="12.75">
      <c r="A44" s="1" t="s">
        <v>163</v>
      </c>
      <c r="B44" s="6" t="s">
        <v>197</v>
      </c>
      <c r="C44" s="29">
        <v>365742</v>
      </c>
      <c r="D44" s="22">
        <v>25586</v>
      </c>
      <c r="E44" s="22">
        <v>25907</v>
      </c>
      <c r="F44" s="22">
        <v>32588</v>
      </c>
      <c r="G44" s="22">
        <v>35512</v>
      </c>
      <c r="H44" s="22">
        <v>36595</v>
      </c>
      <c r="I44" s="22">
        <v>34275</v>
      </c>
      <c r="J44" s="22">
        <v>28285</v>
      </c>
      <c r="K44" s="22">
        <v>32092</v>
      </c>
      <c r="L44" s="22">
        <v>32281</v>
      </c>
      <c r="M44" s="22">
        <v>32053</v>
      </c>
      <c r="N44" s="22">
        <v>31420</v>
      </c>
      <c r="O44" s="22">
        <v>29351</v>
      </c>
      <c r="P44" s="29">
        <v>377533</v>
      </c>
      <c r="Q44" s="28">
        <v>0.057</v>
      </c>
    </row>
    <row r="45" spans="1:17" ht="12.75">
      <c r="A45" s="1" t="s">
        <v>163</v>
      </c>
      <c r="B45" s="6" t="s">
        <v>261</v>
      </c>
      <c r="C45" s="29">
        <v>287856</v>
      </c>
      <c r="D45" s="22">
        <v>22603</v>
      </c>
      <c r="E45" s="22">
        <v>24763</v>
      </c>
      <c r="F45" s="22">
        <v>29599</v>
      </c>
      <c r="G45" s="22">
        <v>30450</v>
      </c>
      <c r="H45" s="22">
        <v>34855</v>
      </c>
      <c r="I45" s="22">
        <v>28935</v>
      </c>
      <c r="J45" s="22">
        <v>14220</v>
      </c>
      <c r="K45" s="22">
        <v>22354</v>
      </c>
      <c r="L45" s="22">
        <v>32807</v>
      </c>
      <c r="M45" s="22">
        <v>35836</v>
      </c>
      <c r="N45" s="22">
        <v>33410</v>
      </c>
      <c r="O45" s="22">
        <v>28148</v>
      </c>
      <c r="P45" s="29">
        <v>338499</v>
      </c>
      <c r="Q45" s="28">
        <v>0.18</v>
      </c>
    </row>
    <row r="46" spans="1:17" ht="12.75">
      <c r="A46" s="1" t="s">
        <v>78</v>
      </c>
      <c r="B46" s="6" t="s">
        <v>393</v>
      </c>
      <c r="C46" s="29">
        <f>P46/(1+Q46)</f>
        <v>1114413.2701421801</v>
      </c>
      <c r="D46" s="22">
        <v>50295</v>
      </c>
      <c r="E46" s="22">
        <v>50410</v>
      </c>
      <c r="F46" s="22">
        <v>56551</v>
      </c>
      <c r="G46" s="22">
        <v>94281</v>
      </c>
      <c r="H46" s="22">
        <v>115736</v>
      </c>
      <c r="I46" s="22">
        <v>135029</v>
      </c>
      <c r="J46" s="22"/>
      <c r="K46" s="22"/>
      <c r="L46" s="22"/>
      <c r="M46" s="22"/>
      <c r="N46" s="22">
        <v>54622</v>
      </c>
      <c r="O46" s="22">
        <v>58863</v>
      </c>
      <c r="P46" s="29">
        <v>1175706</v>
      </c>
      <c r="Q46" s="28">
        <v>0.055</v>
      </c>
    </row>
    <row r="47" spans="1:19" ht="12.75">
      <c r="A47" s="1" t="s">
        <v>78</v>
      </c>
      <c r="B47" s="6" t="s">
        <v>318</v>
      </c>
      <c r="C47" s="29">
        <v>1007408</v>
      </c>
      <c r="D47" s="22">
        <v>50388</v>
      </c>
      <c r="E47" s="22">
        <v>50471</v>
      </c>
      <c r="F47" s="22">
        <v>54067</v>
      </c>
      <c r="G47" s="22">
        <v>81718</v>
      </c>
      <c r="H47" s="22">
        <v>91664</v>
      </c>
      <c r="I47" s="22">
        <v>110812</v>
      </c>
      <c r="J47" s="22">
        <v>145054</v>
      </c>
      <c r="K47" s="22">
        <v>142669</v>
      </c>
      <c r="L47" s="22">
        <v>106191</v>
      </c>
      <c r="M47" s="22">
        <v>80049</v>
      </c>
      <c r="N47" s="22">
        <v>53922</v>
      </c>
      <c r="O47" s="22">
        <v>58312</v>
      </c>
      <c r="P47" s="29">
        <v>1025346</v>
      </c>
      <c r="Q47" s="28">
        <v>0.0178</v>
      </c>
      <c r="S47" s="40"/>
    </row>
    <row r="48" spans="1:19" ht="12.75">
      <c r="A48" s="1" t="s">
        <v>78</v>
      </c>
      <c r="B48" s="6" t="s">
        <v>355</v>
      </c>
      <c r="C48" s="29">
        <v>989622</v>
      </c>
      <c r="D48" s="22">
        <v>57802</v>
      </c>
      <c r="E48" s="22">
        <v>58798</v>
      </c>
      <c r="F48" s="22">
        <v>69399</v>
      </c>
      <c r="G48" s="22">
        <v>93972</v>
      </c>
      <c r="H48" s="22">
        <v>96086</v>
      </c>
      <c r="I48" s="22">
        <v>103051</v>
      </c>
      <c r="J48" s="22">
        <v>115141</v>
      </c>
      <c r="K48" s="22">
        <v>114568</v>
      </c>
      <c r="L48" s="22">
        <v>99600</v>
      </c>
      <c r="M48" s="22">
        <v>90143</v>
      </c>
      <c r="N48" s="22">
        <v>60998</v>
      </c>
      <c r="O48" s="22">
        <v>68942</v>
      </c>
      <c r="P48" s="29">
        <v>1032937</v>
      </c>
      <c r="Q48" s="28">
        <v>0.0438</v>
      </c>
      <c r="S48" s="40"/>
    </row>
    <row r="49" spans="1:19" ht="12.75">
      <c r="A49" s="1" t="s">
        <v>78</v>
      </c>
      <c r="B49" s="1" t="s">
        <v>74</v>
      </c>
      <c r="C49" s="29">
        <v>3663702</v>
      </c>
      <c r="D49" s="22">
        <v>259463</v>
      </c>
      <c r="E49" s="22">
        <v>262329</v>
      </c>
      <c r="F49" s="22">
        <v>303343</v>
      </c>
      <c r="G49" s="22">
        <v>351881</v>
      </c>
      <c r="H49" s="22">
        <v>376507</v>
      </c>
      <c r="I49" s="22">
        <v>397905</v>
      </c>
      <c r="J49" s="22">
        <v>407524</v>
      </c>
      <c r="K49" s="22">
        <v>366282</v>
      </c>
      <c r="L49" s="22">
        <v>388905</v>
      </c>
      <c r="M49" s="22">
        <v>363572</v>
      </c>
      <c r="N49" s="22">
        <v>297943</v>
      </c>
      <c r="O49" s="22">
        <v>320182</v>
      </c>
      <c r="P49" s="29">
        <v>4117303</v>
      </c>
      <c r="Q49" s="28">
        <v>0.124</v>
      </c>
      <c r="S49" s="40"/>
    </row>
    <row r="50" spans="1:19" ht="12.75">
      <c r="A50" s="1" t="s">
        <v>78</v>
      </c>
      <c r="B50" s="6" t="s">
        <v>260</v>
      </c>
      <c r="C50" s="29">
        <v>919402</v>
      </c>
      <c r="D50" s="25">
        <v>66487</v>
      </c>
      <c r="E50" s="25">
        <v>62060</v>
      </c>
      <c r="F50" s="25">
        <v>74547</v>
      </c>
      <c r="G50" s="25">
        <v>82539</v>
      </c>
      <c r="H50" s="25">
        <v>101631</v>
      </c>
      <c r="I50" s="25">
        <v>93623</v>
      </c>
      <c r="J50" s="25">
        <v>95455</v>
      </c>
      <c r="K50" s="25">
        <v>82755</v>
      </c>
      <c r="L50" s="25">
        <v>87801</v>
      </c>
      <c r="M50" s="25">
        <v>88952</v>
      </c>
      <c r="N50" s="22">
        <v>74397</v>
      </c>
      <c r="O50" s="22">
        <v>80761</v>
      </c>
      <c r="P50" s="29">
        <v>990927</v>
      </c>
      <c r="Q50" s="28">
        <v>0.078</v>
      </c>
      <c r="S50" s="40"/>
    </row>
    <row r="51" spans="1:19" ht="12.75">
      <c r="A51" s="1" t="s">
        <v>78</v>
      </c>
      <c r="B51" s="6" t="s">
        <v>397</v>
      </c>
      <c r="C51" s="29">
        <f>P51/(1+Q51)</f>
        <v>231910.43307086613</v>
      </c>
      <c r="D51" s="22"/>
      <c r="E51" s="22"/>
      <c r="F51" s="22">
        <v>50513</v>
      </c>
      <c r="G51" s="22">
        <v>32215</v>
      </c>
      <c r="H51" s="22">
        <v>154</v>
      </c>
      <c r="I51" s="22">
        <v>83</v>
      </c>
      <c r="J51" s="22">
        <v>251</v>
      </c>
      <c r="K51" s="22">
        <v>116</v>
      </c>
      <c r="L51" s="22">
        <v>94</v>
      </c>
      <c r="M51" s="22">
        <v>91</v>
      </c>
      <c r="N51" s="22">
        <v>86</v>
      </c>
      <c r="O51" s="22">
        <v>25451</v>
      </c>
      <c r="P51" s="29">
        <v>235621</v>
      </c>
      <c r="Q51" s="28">
        <v>0.016</v>
      </c>
      <c r="S51" s="40"/>
    </row>
    <row r="52" spans="1:19" ht="12.75">
      <c r="A52" s="1" t="s">
        <v>78</v>
      </c>
      <c r="B52" s="6" t="s">
        <v>333</v>
      </c>
      <c r="C52" s="29">
        <v>377330</v>
      </c>
      <c r="D52" s="25">
        <v>27262</v>
      </c>
      <c r="E52" s="25">
        <v>28356</v>
      </c>
      <c r="F52" s="25">
        <v>32720</v>
      </c>
      <c r="G52" s="25">
        <v>33058</v>
      </c>
      <c r="H52" s="25">
        <v>40656</v>
      </c>
      <c r="I52" s="25">
        <v>37935</v>
      </c>
      <c r="J52" s="25">
        <v>34344</v>
      </c>
      <c r="K52" s="25">
        <v>24686</v>
      </c>
      <c r="L52" s="25">
        <v>36559</v>
      </c>
      <c r="M52" s="25">
        <v>34961</v>
      </c>
      <c r="N52" s="22">
        <v>32046</v>
      </c>
      <c r="O52" s="22"/>
      <c r="P52" s="29">
        <f t="shared" si="0"/>
        <v>362583</v>
      </c>
      <c r="Q52" s="28"/>
      <c r="S52" s="40"/>
    </row>
    <row r="53" spans="1:19" ht="12.75">
      <c r="A53" s="1" t="s">
        <v>78</v>
      </c>
      <c r="B53" s="6" t="s">
        <v>359</v>
      </c>
      <c r="C53" s="29">
        <v>122254</v>
      </c>
      <c r="D53" s="25">
        <v>6478</v>
      </c>
      <c r="E53" s="25">
        <v>8329</v>
      </c>
      <c r="F53" s="25">
        <v>9608</v>
      </c>
      <c r="G53" s="25">
        <v>12360</v>
      </c>
      <c r="H53" s="25">
        <v>12913</v>
      </c>
      <c r="I53" s="25">
        <v>13327</v>
      </c>
      <c r="J53" s="25">
        <v>14633</v>
      </c>
      <c r="K53" s="25">
        <v>14726</v>
      </c>
      <c r="L53" s="25">
        <v>13100</v>
      </c>
      <c r="M53" s="25">
        <v>12992</v>
      </c>
      <c r="N53" s="22">
        <v>7679</v>
      </c>
      <c r="O53" s="22">
        <v>7636</v>
      </c>
      <c r="P53" s="29">
        <v>134197</v>
      </c>
      <c r="Q53" s="28">
        <f>P53/C53-1</f>
        <v>0.09769005513112039</v>
      </c>
      <c r="S53" s="40"/>
    </row>
    <row r="54" spans="1:19" ht="12.75">
      <c r="A54" s="1" t="s">
        <v>78</v>
      </c>
      <c r="B54" s="6" t="s">
        <v>262</v>
      </c>
      <c r="C54" s="29">
        <v>1170693</v>
      </c>
      <c r="D54" s="25">
        <v>59118</v>
      </c>
      <c r="E54" s="25">
        <v>55873</v>
      </c>
      <c r="F54" s="25">
        <v>66723</v>
      </c>
      <c r="G54" s="25">
        <v>99333</v>
      </c>
      <c r="H54" s="25">
        <v>122112</v>
      </c>
      <c r="I54" s="25">
        <v>121983</v>
      </c>
      <c r="J54" s="25">
        <v>133806</v>
      </c>
      <c r="K54" s="25">
        <v>116723</v>
      </c>
      <c r="L54" s="25">
        <v>129972</v>
      </c>
      <c r="M54" s="25">
        <v>109582</v>
      </c>
      <c r="N54" s="22">
        <v>77431</v>
      </c>
      <c r="O54" s="22">
        <v>72020</v>
      </c>
      <c r="P54" s="29">
        <v>1164631</v>
      </c>
      <c r="Q54" s="28">
        <f>P54/C54-1</f>
        <v>-0.005178129535241105</v>
      </c>
      <c r="S54" s="40"/>
    </row>
    <row r="55" spans="1:19" ht="12.75">
      <c r="A55" s="1" t="s">
        <v>78</v>
      </c>
      <c r="B55" s="1" t="s">
        <v>70</v>
      </c>
      <c r="C55" s="29">
        <v>7979228</v>
      </c>
      <c r="D55" s="22">
        <v>592969</v>
      </c>
      <c r="E55" s="22">
        <v>571912</v>
      </c>
      <c r="F55" s="22">
        <v>699693</v>
      </c>
      <c r="G55" s="22">
        <v>729547</v>
      </c>
      <c r="H55" s="22">
        <v>813251</v>
      </c>
      <c r="I55" s="22">
        <v>758266</v>
      </c>
      <c r="J55" s="25">
        <v>838703</v>
      </c>
      <c r="K55" s="25">
        <v>749729</v>
      </c>
      <c r="L55" s="22">
        <v>766213</v>
      </c>
      <c r="M55" s="22">
        <v>729312</v>
      </c>
      <c r="N55" s="22">
        <v>606237</v>
      </c>
      <c r="O55" s="22">
        <v>581307</v>
      </c>
      <c r="P55" s="29">
        <v>8437141</v>
      </c>
      <c r="Q55" s="28">
        <v>0.057</v>
      </c>
      <c r="S55" s="40"/>
    </row>
    <row r="56" spans="1:19" ht="12.75">
      <c r="A56" s="1" t="s">
        <v>78</v>
      </c>
      <c r="B56" s="1" t="s">
        <v>71</v>
      </c>
      <c r="C56" s="29">
        <v>7524886</v>
      </c>
      <c r="D56" s="22">
        <v>471977</v>
      </c>
      <c r="E56" s="22">
        <v>434229</v>
      </c>
      <c r="F56" s="22">
        <v>519679</v>
      </c>
      <c r="G56" s="22">
        <v>619120</v>
      </c>
      <c r="H56" s="22">
        <v>663831</v>
      </c>
      <c r="I56" s="22">
        <v>691501</v>
      </c>
      <c r="J56" s="25">
        <v>777781</v>
      </c>
      <c r="K56" s="25">
        <v>699904</v>
      </c>
      <c r="L56" s="22">
        <v>673215</v>
      </c>
      <c r="M56" s="22">
        <v>681801</v>
      </c>
      <c r="N56" s="22">
        <v>559371</v>
      </c>
      <c r="O56" s="22">
        <v>574464</v>
      </c>
      <c r="P56" s="29">
        <f t="shared" si="0"/>
        <v>7366873</v>
      </c>
      <c r="Q56" s="28">
        <v>-0.021</v>
      </c>
      <c r="S56" s="40"/>
    </row>
    <row r="57" spans="1:19" ht="12.75">
      <c r="A57" s="1" t="s">
        <v>78</v>
      </c>
      <c r="B57" s="6" t="s">
        <v>237</v>
      </c>
      <c r="C57" s="29">
        <v>1180463</v>
      </c>
      <c r="D57" s="22">
        <v>84989</v>
      </c>
      <c r="E57" s="22">
        <v>77934</v>
      </c>
      <c r="F57" s="22">
        <v>94733</v>
      </c>
      <c r="G57" s="22">
        <v>107410</v>
      </c>
      <c r="H57" s="22">
        <v>118528</v>
      </c>
      <c r="I57" s="22">
        <v>124405</v>
      </c>
      <c r="J57" s="22">
        <v>141679</v>
      </c>
      <c r="K57" s="22">
        <v>131069</v>
      </c>
      <c r="L57" s="22">
        <v>125932</v>
      </c>
      <c r="M57" s="22">
        <v>108211</v>
      </c>
      <c r="N57" s="22">
        <v>96098</v>
      </c>
      <c r="O57" s="22">
        <v>102205</v>
      </c>
      <c r="P57" s="29">
        <f t="shared" si="0"/>
        <v>1313193</v>
      </c>
      <c r="Q57" s="28">
        <v>0.1126</v>
      </c>
      <c r="S57" s="40"/>
    </row>
    <row r="58" spans="1:19" ht="12.75">
      <c r="A58" s="1" t="s">
        <v>78</v>
      </c>
      <c r="B58" s="1" t="s">
        <v>75</v>
      </c>
      <c r="C58" s="29">
        <v>3024327</v>
      </c>
      <c r="D58" s="22">
        <v>183034</v>
      </c>
      <c r="E58" s="22">
        <v>178738</v>
      </c>
      <c r="F58" s="22">
        <v>238288</v>
      </c>
      <c r="G58" s="22">
        <v>282439</v>
      </c>
      <c r="H58" s="22">
        <v>354889</v>
      </c>
      <c r="I58" s="22">
        <v>321124</v>
      </c>
      <c r="J58" s="22">
        <v>330070</v>
      </c>
      <c r="K58" s="22">
        <v>324675</v>
      </c>
      <c r="L58" s="22">
        <v>316616</v>
      </c>
      <c r="M58" s="22">
        <v>295133</v>
      </c>
      <c r="N58" s="22">
        <v>211602</v>
      </c>
      <c r="O58" s="22">
        <v>209841</v>
      </c>
      <c r="P58" s="29">
        <v>3246112</v>
      </c>
      <c r="Q58" s="28">
        <v>0.0708</v>
      </c>
      <c r="S58" s="40"/>
    </row>
    <row r="59" spans="1:19" ht="12.75">
      <c r="A59" s="1" t="s">
        <v>78</v>
      </c>
      <c r="B59" s="1" t="s">
        <v>69</v>
      </c>
      <c r="C59" s="29">
        <v>9603014</v>
      </c>
      <c r="D59" s="22">
        <v>571604</v>
      </c>
      <c r="E59" s="22">
        <v>560347</v>
      </c>
      <c r="F59" s="22">
        <v>707336</v>
      </c>
      <c r="G59" s="22">
        <v>913443</v>
      </c>
      <c r="H59" s="22">
        <v>994164</v>
      </c>
      <c r="I59" s="22">
        <v>1067904</v>
      </c>
      <c r="J59" s="25">
        <v>1218501</v>
      </c>
      <c r="K59" s="25">
        <v>1146268</v>
      </c>
      <c r="L59" s="22">
        <v>1047476</v>
      </c>
      <c r="M59" s="22">
        <v>924473</v>
      </c>
      <c r="N59" s="22">
        <v>626248</v>
      </c>
      <c r="O59" s="22">
        <v>644315</v>
      </c>
      <c r="P59" s="29">
        <v>10422073</v>
      </c>
      <c r="Q59" s="28">
        <f>P59/C59-1</f>
        <v>0.08529186774069064</v>
      </c>
      <c r="S59" s="40"/>
    </row>
    <row r="60" spans="1:19" ht="12.75">
      <c r="A60" s="1" t="s">
        <v>78</v>
      </c>
      <c r="B60" s="1" t="s">
        <v>77</v>
      </c>
      <c r="C60" s="29">
        <v>2931796</v>
      </c>
      <c r="D60" s="22">
        <v>244801</v>
      </c>
      <c r="E60" s="22">
        <v>240467</v>
      </c>
      <c r="F60" s="22">
        <v>293711</v>
      </c>
      <c r="G60" s="22">
        <v>327605</v>
      </c>
      <c r="H60" s="22">
        <v>332841</v>
      </c>
      <c r="I60" s="22">
        <v>337777</v>
      </c>
      <c r="J60" s="22">
        <v>369225</v>
      </c>
      <c r="K60" s="22">
        <v>373729</v>
      </c>
      <c r="L60" s="22">
        <v>323370</v>
      </c>
      <c r="M60" s="22">
        <v>328332</v>
      </c>
      <c r="N60" s="22">
        <v>247483</v>
      </c>
      <c r="O60" s="22">
        <v>258484</v>
      </c>
      <c r="P60" s="29">
        <f t="shared" si="0"/>
        <v>3677825</v>
      </c>
      <c r="Q60" s="28">
        <f>P60/C60-1</f>
        <v>0.25446142910352565</v>
      </c>
      <c r="S60" s="40"/>
    </row>
    <row r="61" spans="1:19" ht="12.75">
      <c r="A61" s="1" t="s">
        <v>78</v>
      </c>
      <c r="B61" s="1" t="s">
        <v>67</v>
      </c>
      <c r="C61" s="29">
        <v>58164612</v>
      </c>
      <c r="D61" s="22">
        <v>4317169</v>
      </c>
      <c r="E61" s="22">
        <v>3999222</v>
      </c>
      <c r="F61" s="22">
        <v>4660846</v>
      </c>
      <c r="G61" s="22">
        <v>5155777</v>
      </c>
      <c r="H61" s="22">
        <v>5293969</v>
      </c>
      <c r="I61" s="22">
        <v>5410429</v>
      </c>
      <c r="J61" s="22">
        <v>6132084</v>
      </c>
      <c r="K61" s="22">
        <v>5890112</v>
      </c>
      <c r="L61" s="22">
        <v>5550103</v>
      </c>
      <c r="M61" s="22">
        <v>5330769</v>
      </c>
      <c r="N61" s="22">
        <v>4514458</v>
      </c>
      <c r="O61" s="22">
        <v>4715613</v>
      </c>
      <c r="P61" s="29">
        <f t="shared" si="0"/>
        <v>60970551</v>
      </c>
      <c r="Q61" s="28">
        <v>0.048</v>
      </c>
      <c r="S61" s="40"/>
    </row>
    <row r="62" spans="1:19" ht="12.75">
      <c r="A62" s="1" t="s">
        <v>78</v>
      </c>
      <c r="B62" s="1" t="s">
        <v>68</v>
      </c>
      <c r="C62" s="29">
        <v>25203969</v>
      </c>
      <c r="D62" s="22">
        <v>1921180</v>
      </c>
      <c r="E62" s="22">
        <v>1839371</v>
      </c>
      <c r="F62" s="22">
        <v>2137425</v>
      </c>
      <c r="G62" s="22">
        <v>2401657</v>
      </c>
      <c r="H62" s="22">
        <v>2361430</v>
      </c>
      <c r="I62" s="22">
        <v>2478508</v>
      </c>
      <c r="J62" s="22">
        <v>2762221</v>
      </c>
      <c r="K62" s="22">
        <v>2470640</v>
      </c>
      <c r="L62" s="22">
        <v>2371745</v>
      </c>
      <c r="M62" s="22">
        <v>2253578</v>
      </c>
      <c r="N62" s="22">
        <v>2000135</v>
      </c>
      <c r="O62" s="22">
        <v>2141186</v>
      </c>
      <c r="P62" s="29">
        <f t="shared" si="0"/>
        <v>27139076</v>
      </c>
      <c r="Q62" s="28">
        <v>0.077</v>
      </c>
      <c r="S62" s="40"/>
    </row>
    <row r="63" spans="1:19" ht="12.75">
      <c r="A63" s="1" t="s">
        <v>78</v>
      </c>
      <c r="B63" s="1" t="s">
        <v>325</v>
      </c>
      <c r="C63" s="29">
        <v>673697</v>
      </c>
      <c r="D63" s="22">
        <v>52382</v>
      </c>
      <c r="E63" s="22">
        <v>53833</v>
      </c>
      <c r="F63" s="22">
        <v>56521</v>
      </c>
      <c r="G63" s="22">
        <v>52471</v>
      </c>
      <c r="H63" s="22">
        <v>56127</v>
      </c>
      <c r="I63" s="22">
        <v>58616</v>
      </c>
      <c r="J63" s="22">
        <v>53239</v>
      </c>
      <c r="K63" s="22">
        <v>41536</v>
      </c>
      <c r="L63" s="22">
        <v>53347</v>
      </c>
      <c r="M63" s="22">
        <v>54558</v>
      </c>
      <c r="N63" s="22">
        <v>52731</v>
      </c>
      <c r="O63" s="22">
        <v>56056</v>
      </c>
      <c r="P63" s="29">
        <v>641496</v>
      </c>
      <c r="Q63" s="28">
        <v>-0.0478</v>
      </c>
      <c r="S63" s="40"/>
    </row>
    <row r="64" spans="1:19" ht="12.75">
      <c r="A64" s="1" t="s">
        <v>78</v>
      </c>
      <c r="B64" s="1" t="s">
        <v>301</v>
      </c>
      <c r="C64" s="29">
        <v>410900</v>
      </c>
      <c r="D64" s="22">
        <v>27776</v>
      </c>
      <c r="E64" s="22">
        <v>27848</v>
      </c>
      <c r="F64" s="22">
        <v>33914</v>
      </c>
      <c r="G64" s="22">
        <v>34130</v>
      </c>
      <c r="H64" s="22">
        <v>40737</v>
      </c>
      <c r="I64" s="22">
        <v>40512</v>
      </c>
      <c r="J64" s="22">
        <v>42665</v>
      </c>
      <c r="K64" s="22">
        <v>41582</v>
      </c>
      <c r="L64" s="22">
        <v>39940</v>
      </c>
      <c r="M64" s="22">
        <v>38495</v>
      </c>
      <c r="N64" s="22">
        <v>32548</v>
      </c>
      <c r="O64" s="22">
        <v>33312</v>
      </c>
      <c r="P64" s="29">
        <v>432931</v>
      </c>
      <c r="Q64" s="28">
        <f>P64/C64-1</f>
        <v>0.05361645169140905</v>
      </c>
      <c r="S64" s="40"/>
    </row>
    <row r="65" spans="1:19" ht="12.75">
      <c r="A65" s="1" t="s">
        <v>78</v>
      </c>
      <c r="B65" s="1" t="s">
        <v>76</v>
      </c>
      <c r="C65" s="29">
        <v>1060705</v>
      </c>
      <c r="D65" s="22">
        <v>71319</v>
      </c>
      <c r="E65" s="22">
        <v>68810</v>
      </c>
      <c r="F65" s="22">
        <v>82776</v>
      </c>
      <c r="G65" s="22">
        <v>89154</v>
      </c>
      <c r="H65" s="22">
        <v>98404</v>
      </c>
      <c r="I65" s="22">
        <v>104375</v>
      </c>
      <c r="J65" s="22">
        <v>102353</v>
      </c>
      <c r="K65" s="22">
        <v>84506</v>
      </c>
      <c r="L65" s="22">
        <v>105508</v>
      </c>
      <c r="M65" s="22">
        <v>99200</v>
      </c>
      <c r="N65" s="22">
        <v>83230</v>
      </c>
      <c r="O65" s="22">
        <v>90411</v>
      </c>
      <c r="P65" s="29">
        <f t="shared" si="0"/>
        <v>1080046</v>
      </c>
      <c r="Q65" s="28">
        <v>0.018</v>
      </c>
      <c r="S65" s="40"/>
    </row>
    <row r="66" spans="1:19" ht="12.75">
      <c r="A66" s="1" t="s">
        <v>78</v>
      </c>
      <c r="B66" s="1" t="s">
        <v>364</v>
      </c>
      <c r="C66" s="29">
        <v>436085</v>
      </c>
      <c r="D66" s="22">
        <v>8106</v>
      </c>
      <c r="E66" s="22">
        <v>22146</v>
      </c>
      <c r="F66" s="22">
        <v>11128</v>
      </c>
      <c r="G66" s="22">
        <v>31519</v>
      </c>
      <c r="H66" s="22">
        <v>69157</v>
      </c>
      <c r="I66" s="22"/>
      <c r="J66" s="22"/>
      <c r="K66" s="22"/>
      <c r="L66" s="22"/>
      <c r="M66" s="22"/>
      <c r="N66" s="22"/>
      <c r="O66" s="22"/>
      <c r="P66" s="29">
        <f t="shared" si="0"/>
        <v>142056</v>
      </c>
      <c r="Q66" s="28"/>
      <c r="S66" s="40"/>
    </row>
    <row r="67" spans="1:19" ht="12.75">
      <c r="A67" s="1" t="s">
        <v>78</v>
      </c>
      <c r="B67" s="6" t="s">
        <v>238</v>
      </c>
      <c r="C67" s="29">
        <v>502974</v>
      </c>
      <c r="D67" s="22">
        <v>26791</v>
      </c>
      <c r="E67" s="22">
        <v>30316</v>
      </c>
      <c r="F67" s="22">
        <v>37097</v>
      </c>
      <c r="G67" s="22">
        <v>50148</v>
      </c>
      <c r="H67" s="22">
        <v>55281</v>
      </c>
      <c r="I67" s="22">
        <v>61652</v>
      </c>
      <c r="J67" s="22">
        <v>74305</v>
      </c>
      <c r="K67" s="22">
        <v>69438</v>
      </c>
      <c r="L67" s="22">
        <v>59609</v>
      </c>
      <c r="M67" s="22">
        <v>49212</v>
      </c>
      <c r="N67" s="22">
        <v>30431</v>
      </c>
      <c r="O67" s="22">
        <v>33255</v>
      </c>
      <c r="P67" s="29">
        <v>578105</v>
      </c>
      <c r="Q67" s="28">
        <v>0.1494</v>
      </c>
      <c r="S67" s="40"/>
    </row>
    <row r="68" spans="1:22" ht="12.75">
      <c r="A68" s="1" t="s">
        <v>78</v>
      </c>
      <c r="B68" s="1" t="s">
        <v>72</v>
      </c>
      <c r="C68" s="29">
        <v>6405906</v>
      </c>
      <c r="D68" s="22">
        <v>509650</v>
      </c>
      <c r="E68" s="22">
        <v>496002</v>
      </c>
      <c r="F68" s="22">
        <v>579701</v>
      </c>
      <c r="G68" s="22">
        <v>586852</v>
      </c>
      <c r="H68" s="22">
        <v>649681</v>
      </c>
      <c r="I68" s="22">
        <v>654094</v>
      </c>
      <c r="J68" s="22">
        <v>621094</v>
      </c>
      <c r="K68" s="22">
        <v>534823</v>
      </c>
      <c r="L68" s="22">
        <v>622930</v>
      </c>
      <c r="M68" s="22">
        <v>614965</v>
      </c>
      <c r="N68" s="22">
        <v>550052</v>
      </c>
      <c r="O68" s="22">
        <v>563177</v>
      </c>
      <c r="P68" s="29">
        <v>6988140</v>
      </c>
      <c r="Q68" s="28">
        <v>0.091</v>
      </c>
      <c r="S68" s="40"/>
      <c r="T68" s="40"/>
      <c r="U68" s="40"/>
      <c r="V68" s="41"/>
    </row>
    <row r="69" spans="1:17" ht="12.75">
      <c r="A69" s="1" t="s">
        <v>338</v>
      </c>
      <c r="B69" s="1" t="s">
        <v>350</v>
      </c>
      <c r="C69" s="29">
        <v>822770</v>
      </c>
      <c r="D69" s="22">
        <v>63359</v>
      </c>
      <c r="E69" s="22">
        <v>52995</v>
      </c>
      <c r="F69" s="22">
        <v>64414</v>
      </c>
      <c r="G69" s="22">
        <v>70534</v>
      </c>
      <c r="H69" s="22">
        <v>82867</v>
      </c>
      <c r="I69" s="22">
        <v>94791</v>
      </c>
      <c r="J69" s="22">
        <v>116674</v>
      </c>
      <c r="K69" s="22">
        <v>130998</v>
      </c>
      <c r="L69" s="22">
        <v>123058</v>
      </c>
      <c r="M69" s="22">
        <v>100041</v>
      </c>
      <c r="N69" s="22">
        <v>77775</v>
      </c>
      <c r="O69" s="22">
        <v>81173</v>
      </c>
      <c r="P69" s="29">
        <f t="shared" si="0"/>
        <v>1058679</v>
      </c>
      <c r="Q69" s="28">
        <f>P69/C69-1</f>
        <v>0.2867253302867143</v>
      </c>
    </row>
    <row r="70" spans="1:17" ht="12.75">
      <c r="A70" s="1" t="s">
        <v>14</v>
      </c>
      <c r="B70" s="1" t="s">
        <v>353</v>
      </c>
      <c r="C70" s="29">
        <v>190685745</v>
      </c>
      <c r="D70" s="22">
        <v>12853066</v>
      </c>
      <c r="E70" s="22">
        <v>12533898</v>
      </c>
      <c r="F70" s="22">
        <v>15277680</v>
      </c>
      <c r="G70" s="22">
        <v>16139665</v>
      </c>
      <c r="H70" s="22">
        <v>18133999</v>
      </c>
      <c r="I70" s="22">
        <v>18185906</v>
      </c>
      <c r="J70" s="22">
        <v>19664413</v>
      </c>
      <c r="K70" s="22">
        <v>18935385</v>
      </c>
      <c r="L70" s="22">
        <v>19510379</v>
      </c>
      <c r="M70" s="22">
        <v>18906706</v>
      </c>
      <c r="N70" s="22">
        <v>15130448</v>
      </c>
      <c r="O70" s="22">
        <v>13961634</v>
      </c>
      <c r="P70" s="29">
        <v>199236865</v>
      </c>
      <c r="Q70" s="28">
        <v>0.048</v>
      </c>
    </row>
    <row r="71" spans="1:17" ht="12.75">
      <c r="A71" s="1" t="s">
        <v>14</v>
      </c>
      <c r="B71" s="1" t="s">
        <v>391</v>
      </c>
      <c r="C71" s="29">
        <v>911609</v>
      </c>
      <c r="D71" s="22">
        <v>45369</v>
      </c>
      <c r="E71" s="22">
        <v>44698</v>
      </c>
      <c r="F71" s="22">
        <v>55994</v>
      </c>
      <c r="G71" s="22">
        <v>64188</v>
      </c>
      <c r="H71" s="22">
        <v>71213</v>
      </c>
      <c r="I71" s="22">
        <v>80059</v>
      </c>
      <c r="J71" s="22">
        <v>82853</v>
      </c>
      <c r="K71" s="22">
        <v>91535</v>
      </c>
      <c r="L71" s="22">
        <v>84074</v>
      </c>
      <c r="M71" s="22">
        <v>70343</v>
      </c>
      <c r="N71" s="22">
        <v>34177</v>
      </c>
      <c r="O71" s="22">
        <v>43279</v>
      </c>
      <c r="P71" s="29">
        <f t="shared" si="0"/>
        <v>767782</v>
      </c>
      <c r="Q71" s="28">
        <v>-0.158</v>
      </c>
    </row>
    <row r="72" spans="1:17" ht="12.75">
      <c r="A72" s="1" t="s">
        <v>14</v>
      </c>
      <c r="B72" s="1" t="s">
        <v>390</v>
      </c>
      <c r="C72" s="29">
        <v>7297911</v>
      </c>
      <c r="D72" s="22">
        <v>490300</v>
      </c>
      <c r="E72" s="22">
        <v>465875</v>
      </c>
      <c r="F72" s="22">
        <v>565564</v>
      </c>
      <c r="G72" s="22">
        <v>592204</v>
      </c>
      <c r="H72" s="22">
        <v>606220</v>
      </c>
      <c r="I72" s="22">
        <v>632988</v>
      </c>
      <c r="J72" s="22">
        <v>685463</v>
      </c>
      <c r="K72" s="22">
        <v>657184</v>
      </c>
      <c r="L72" s="22">
        <v>668603</v>
      </c>
      <c r="M72" s="22">
        <v>693741</v>
      </c>
      <c r="N72" s="24">
        <v>521091</v>
      </c>
      <c r="O72" s="22">
        <v>534756</v>
      </c>
      <c r="P72" s="29">
        <f t="shared" si="0"/>
        <v>7113989</v>
      </c>
      <c r="Q72" s="28">
        <v>-0.025</v>
      </c>
    </row>
    <row r="73" spans="1:17" ht="12.75">
      <c r="A73" s="1" t="s">
        <v>14</v>
      </c>
      <c r="B73" s="1" t="s">
        <v>15</v>
      </c>
      <c r="C73" s="29">
        <v>15025600</v>
      </c>
      <c r="D73" s="22">
        <v>1056863</v>
      </c>
      <c r="E73" s="22">
        <v>1121973</v>
      </c>
      <c r="F73" s="22">
        <v>1314653</v>
      </c>
      <c r="G73" s="22">
        <v>1366763</v>
      </c>
      <c r="H73" s="22">
        <v>1559649</v>
      </c>
      <c r="I73" s="22">
        <v>1517381</v>
      </c>
      <c r="J73" s="22">
        <v>1586769</v>
      </c>
      <c r="K73" s="22">
        <v>1485113</v>
      </c>
      <c r="L73" s="22">
        <v>1658026</v>
      </c>
      <c r="M73" s="22">
        <v>1613251</v>
      </c>
      <c r="N73" s="22">
        <v>1381119</v>
      </c>
      <c r="O73" s="22">
        <v>1258260</v>
      </c>
      <c r="P73" s="29">
        <f t="shared" si="0"/>
        <v>16919820</v>
      </c>
      <c r="Q73" s="28">
        <v>0.126</v>
      </c>
    </row>
    <row r="74" spans="1:17" ht="12.75">
      <c r="A74" s="1" t="s">
        <v>14</v>
      </c>
      <c r="B74" s="1" t="s">
        <v>16</v>
      </c>
      <c r="C74" s="29">
        <v>2676275</v>
      </c>
      <c r="D74" s="22">
        <v>162145</v>
      </c>
      <c r="E74" s="22">
        <v>164244</v>
      </c>
      <c r="F74" s="22">
        <v>209086</v>
      </c>
      <c r="G74" s="22">
        <v>213249</v>
      </c>
      <c r="H74" s="22">
        <v>231683</v>
      </c>
      <c r="I74" s="22">
        <v>227878</v>
      </c>
      <c r="J74" s="22">
        <v>251667</v>
      </c>
      <c r="K74" s="22">
        <v>238024</v>
      </c>
      <c r="L74" s="22">
        <v>248447</v>
      </c>
      <c r="M74" s="22">
        <v>263905</v>
      </c>
      <c r="N74" s="22">
        <v>187452</v>
      </c>
      <c r="O74" s="22">
        <v>162227</v>
      </c>
      <c r="P74" s="29">
        <v>2560023</v>
      </c>
      <c r="Q74" s="28">
        <v>-0.043</v>
      </c>
    </row>
    <row r="75" spans="1:17" ht="12.75">
      <c r="A75" s="1" t="s">
        <v>14</v>
      </c>
      <c r="B75" s="1" t="s">
        <v>26</v>
      </c>
      <c r="C75" s="29">
        <v>9849779</v>
      </c>
      <c r="D75" s="22">
        <v>560469</v>
      </c>
      <c r="E75" s="22">
        <v>534174</v>
      </c>
      <c r="F75" s="22">
        <v>689532</v>
      </c>
      <c r="G75" s="22">
        <v>737467</v>
      </c>
      <c r="H75" s="22">
        <v>925171</v>
      </c>
      <c r="I75" s="22">
        <v>918876</v>
      </c>
      <c r="J75" s="22">
        <v>1009318</v>
      </c>
      <c r="K75" s="22">
        <v>996999</v>
      </c>
      <c r="L75" s="22">
        <v>1025583</v>
      </c>
      <c r="M75" s="22">
        <v>961678</v>
      </c>
      <c r="N75" s="22">
        <v>672607</v>
      </c>
      <c r="O75" s="22">
        <v>591524</v>
      </c>
      <c r="P75" s="29">
        <f aca="true" t="shared" si="2" ref="P75:P160">SUM(D75:O75)</f>
        <v>9623398</v>
      </c>
      <c r="Q75" s="28">
        <v>-0.023</v>
      </c>
    </row>
    <row r="76" spans="1:17" ht="12.75">
      <c r="A76" s="1" t="s">
        <v>14</v>
      </c>
      <c r="B76" s="1" t="s">
        <v>17</v>
      </c>
      <c r="C76" s="29">
        <v>1747731</v>
      </c>
      <c r="D76" s="22">
        <v>107339</v>
      </c>
      <c r="E76" s="22">
        <v>101431</v>
      </c>
      <c r="F76" s="22">
        <v>121363</v>
      </c>
      <c r="G76" s="22">
        <v>148956</v>
      </c>
      <c r="H76" s="22">
        <v>164439</v>
      </c>
      <c r="I76" s="22">
        <v>167117</v>
      </c>
      <c r="J76" s="22">
        <v>189810</v>
      </c>
      <c r="K76" s="22">
        <v>194641</v>
      </c>
      <c r="L76" s="22">
        <v>185262</v>
      </c>
      <c r="M76" s="22">
        <v>187416</v>
      </c>
      <c r="N76" s="22">
        <v>128754</v>
      </c>
      <c r="O76" s="22">
        <v>125538</v>
      </c>
      <c r="P76" s="29">
        <f t="shared" si="2"/>
        <v>1822066</v>
      </c>
      <c r="Q76" s="28">
        <v>0.043</v>
      </c>
    </row>
    <row r="77" spans="1:17" ht="12.75">
      <c r="A77" s="1" t="s">
        <v>14</v>
      </c>
      <c r="B77" s="1" t="s">
        <v>18</v>
      </c>
      <c r="C77" s="29">
        <v>1843123</v>
      </c>
      <c r="D77" s="22">
        <v>109104</v>
      </c>
      <c r="E77" s="22">
        <v>111859</v>
      </c>
      <c r="F77" s="22">
        <v>137455</v>
      </c>
      <c r="G77" s="22">
        <v>144521</v>
      </c>
      <c r="H77" s="22">
        <v>181734</v>
      </c>
      <c r="I77" s="22">
        <v>187678</v>
      </c>
      <c r="J77" s="22">
        <v>188361</v>
      </c>
      <c r="K77" s="22">
        <v>176749</v>
      </c>
      <c r="L77" s="22">
        <v>204859</v>
      </c>
      <c r="M77" s="22">
        <v>202286</v>
      </c>
      <c r="N77" s="22">
        <v>148577</v>
      </c>
      <c r="O77" s="22">
        <v>124732</v>
      </c>
      <c r="P77" s="29">
        <f t="shared" si="2"/>
        <v>1917915</v>
      </c>
      <c r="Q77" s="28">
        <v>0.041</v>
      </c>
    </row>
    <row r="78" spans="1:17" ht="12.75">
      <c r="A78" s="1" t="s">
        <v>14</v>
      </c>
      <c r="B78" s="1" t="s">
        <v>389</v>
      </c>
      <c r="C78" s="29">
        <v>18988149</v>
      </c>
      <c r="D78" s="22">
        <v>1238056</v>
      </c>
      <c r="E78" s="22">
        <v>1240764</v>
      </c>
      <c r="F78" s="22">
        <v>1534382</v>
      </c>
      <c r="G78" s="22">
        <v>1570478</v>
      </c>
      <c r="H78" s="22">
        <v>1911779</v>
      </c>
      <c r="I78" s="22">
        <v>1847681</v>
      </c>
      <c r="J78" s="22">
        <v>2053934</v>
      </c>
      <c r="K78" s="22">
        <v>1973888</v>
      </c>
      <c r="L78" s="22">
        <v>2069670</v>
      </c>
      <c r="M78" s="22">
        <v>1993537</v>
      </c>
      <c r="N78" s="22">
        <v>1562291</v>
      </c>
      <c r="O78" s="22">
        <v>1343006</v>
      </c>
      <c r="P78" s="29">
        <f t="shared" si="2"/>
        <v>20339466</v>
      </c>
      <c r="Q78" s="28">
        <v>0.071</v>
      </c>
    </row>
    <row r="79" spans="1:17" ht="12.75">
      <c r="A79" s="1" t="s">
        <v>14</v>
      </c>
      <c r="B79" s="1" t="s">
        <v>19</v>
      </c>
      <c r="C79" s="29">
        <v>322073</v>
      </c>
      <c r="D79" s="22">
        <v>13935</v>
      </c>
      <c r="E79" s="22">
        <v>14284</v>
      </c>
      <c r="F79" s="22">
        <v>18434</v>
      </c>
      <c r="G79" s="22">
        <v>20943</v>
      </c>
      <c r="H79" s="22">
        <v>25104</v>
      </c>
      <c r="I79" s="22">
        <v>33940</v>
      </c>
      <c r="J79" s="22">
        <v>32395</v>
      </c>
      <c r="K79" s="22">
        <v>34742</v>
      </c>
      <c r="L79" s="22">
        <v>37235</v>
      </c>
      <c r="M79" s="22">
        <v>38239</v>
      </c>
      <c r="N79" s="22">
        <v>9382</v>
      </c>
      <c r="O79" s="22">
        <v>2285</v>
      </c>
      <c r="P79" s="29">
        <f t="shared" si="2"/>
        <v>280918</v>
      </c>
      <c r="Q79" s="28">
        <v>-0.128</v>
      </c>
    </row>
    <row r="80" spans="1:17" ht="12.75">
      <c r="A80" s="1" t="s">
        <v>14</v>
      </c>
      <c r="B80" s="1" t="s">
        <v>20</v>
      </c>
      <c r="C80" s="29">
        <v>53009221</v>
      </c>
      <c r="D80" s="22">
        <v>3864640</v>
      </c>
      <c r="E80" s="22">
        <v>3575208</v>
      </c>
      <c r="F80" s="22">
        <v>4323617</v>
      </c>
      <c r="G80" s="22">
        <v>4640999</v>
      </c>
      <c r="H80" s="22">
        <v>5037919</v>
      </c>
      <c r="I80" s="22">
        <v>5089795</v>
      </c>
      <c r="J80" s="22">
        <v>5557988</v>
      </c>
      <c r="K80" s="22">
        <v>5351348</v>
      </c>
      <c r="L80" s="22">
        <v>5303672</v>
      </c>
      <c r="M80" s="22">
        <v>5144853</v>
      </c>
      <c r="N80" s="22">
        <v>4301316</v>
      </c>
      <c r="O80" s="22">
        <v>4244900</v>
      </c>
      <c r="P80" s="29">
        <f t="shared" si="2"/>
        <v>56436255</v>
      </c>
      <c r="Q80" s="28">
        <v>0.065</v>
      </c>
    </row>
    <row r="81" spans="1:17" ht="12.75">
      <c r="A81" s="1" t="s">
        <v>14</v>
      </c>
      <c r="B81" s="1" t="s">
        <v>21</v>
      </c>
      <c r="C81" s="29">
        <v>590640</v>
      </c>
      <c r="D81" s="22">
        <v>33882</v>
      </c>
      <c r="E81" s="22">
        <v>32188</v>
      </c>
      <c r="F81" s="22">
        <v>39186</v>
      </c>
      <c r="G81" s="22">
        <v>41058</v>
      </c>
      <c r="H81" s="22">
        <v>53414</v>
      </c>
      <c r="I81" s="22">
        <v>58366</v>
      </c>
      <c r="J81" s="22">
        <v>62080</v>
      </c>
      <c r="K81" s="22">
        <v>57663</v>
      </c>
      <c r="L81" s="22">
        <v>61594</v>
      </c>
      <c r="M81" s="22">
        <v>55378</v>
      </c>
      <c r="N81" s="22">
        <v>39237</v>
      </c>
      <c r="O81" s="22">
        <v>33723</v>
      </c>
      <c r="P81" s="29">
        <v>571709</v>
      </c>
      <c r="Q81" s="28">
        <v>-0.032</v>
      </c>
    </row>
    <row r="82" spans="1:17" ht="12.75">
      <c r="A82" s="1" t="s">
        <v>14</v>
      </c>
      <c r="B82" s="1" t="s">
        <v>22</v>
      </c>
      <c r="C82" s="29">
        <v>3493451</v>
      </c>
      <c r="D82" s="22">
        <v>187832</v>
      </c>
      <c r="E82" s="22">
        <v>176319</v>
      </c>
      <c r="F82" s="22">
        <v>232150</v>
      </c>
      <c r="G82" s="22">
        <v>256764</v>
      </c>
      <c r="H82" s="22">
        <v>260371</v>
      </c>
      <c r="I82" s="22">
        <v>282370</v>
      </c>
      <c r="J82" s="22">
        <v>308123</v>
      </c>
      <c r="K82" s="22">
        <v>307269</v>
      </c>
      <c r="L82" s="22">
        <v>275538</v>
      </c>
      <c r="M82" s="22">
        <v>287786</v>
      </c>
      <c r="N82" s="22">
        <v>155465</v>
      </c>
      <c r="O82" s="22">
        <v>164122</v>
      </c>
      <c r="P82" s="29">
        <f t="shared" si="2"/>
        <v>2894109</v>
      </c>
      <c r="Q82" s="28">
        <v>-0.172</v>
      </c>
    </row>
    <row r="83" spans="1:17" ht="12.75">
      <c r="A83" s="1" t="s">
        <v>14</v>
      </c>
      <c r="B83" s="1" t="s">
        <v>23</v>
      </c>
      <c r="C83" s="29">
        <v>12962429</v>
      </c>
      <c r="D83" s="22">
        <v>852808</v>
      </c>
      <c r="E83" s="22">
        <v>886383</v>
      </c>
      <c r="F83" s="22">
        <v>1081706</v>
      </c>
      <c r="G83" s="22">
        <v>1109690</v>
      </c>
      <c r="H83" s="22">
        <v>1237756</v>
      </c>
      <c r="I83" s="22">
        <v>1194013</v>
      </c>
      <c r="J83" s="22">
        <v>1305163</v>
      </c>
      <c r="K83" s="22">
        <v>1204279</v>
      </c>
      <c r="L83" s="22">
        <v>1326926</v>
      </c>
      <c r="M83" s="22">
        <v>1330651</v>
      </c>
      <c r="N83" s="22">
        <v>1076960</v>
      </c>
      <c r="O83" s="22">
        <v>951946</v>
      </c>
      <c r="P83" s="29">
        <v>13558261</v>
      </c>
      <c r="Q83" s="28">
        <v>0.046</v>
      </c>
    </row>
    <row r="84" spans="1:17" ht="12.75">
      <c r="A84" s="1" t="s">
        <v>14</v>
      </c>
      <c r="B84" s="1" t="s">
        <v>24</v>
      </c>
      <c r="C84" s="29">
        <v>5059800</v>
      </c>
      <c r="D84" s="22">
        <v>302974</v>
      </c>
      <c r="E84" s="22">
        <v>295101</v>
      </c>
      <c r="F84" s="22">
        <v>391754</v>
      </c>
      <c r="G84" s="22">
        <v>434792</v>
      </c>
      <c r="H84" s="22">
        <v>499341</v>
      </c>
      <c r="I84" s="22">
        <v>489289</v>
      </c>
      <c r="J84" s="22">
        <v>558674</v>
      </c>
      <c r="K84" s="22">
        <v>529599</v>
      </c>
      <c r="L84" s="22">
        <v>574703</v>
      </c>
      <c r="M84" s="22">
        <v>567078</v>
      </c>
      <c r="N84" s="22">
        <v>394201</v>
      </c>
      <c r="O84" s="22">
        <v>302758</v>
      </c>
      <c r="P84" s="29">
        <f t="shared" si="2"/>
        <v>5340264</v>
      </c>
      <c r="Q84" s="28">
        <v>0.055</v>
      </c>
    </row>
    <row r="85" spans="1:17" ht="12.75">
      <c r="A85" s="1" t="s">
        <v>14</v>
      </c>
      <c r="B85" s="1" t="s">
        <v>25</v>
      </c>
      <c r="C85" s="29">
        <v>1177201</v>
      </c>
      <c r="D85" s="22">
        <v>56720</v>
      </c>
      <c r="E85" s="22">
        <v>57729</v>
      </c>
      <c r="F85" s="22">
        <v>82017</v>
      </c>
      <c r="G85" s="22">
        <v>99448</v>
      </c>
      <c r="H85" s="22">
        <v>113642</v>
      </c>
      <c r="I85" s="22">
        <v>120739</v>
      </c>
      <c r="J85" s="22">
        <v>119229</v>
      </c>
      <c r="K85" s="22">
        <v>122463</v>
      </c>
      <c r="L85" s="22">
        <v>116660</v>
      </c>
      <c r="M85" s="22">
        <v>108067</v>
      </c>
      <c r="N85" s="22">
        <v>63138</v>
      </c>
      <c r="O85" s="22">
        <v>54683</v>
      </c>
      <c r="P85" s="29">
        <f t="shared" si="2"/>
        <v>1114535</v>
      </c>
      <c r="Q85" s="28">
        <v>-0.053</v>
      </c>
    </row>
    <row r="86" spans="1:17" s="1" customFormat="1" ht="12.75">
      <c r="A86" s="1" t="s">
        <v>14</v>
      </c>
      <c r="B86" s="1" t="s">
        <v>27</v>
      </c>
      <c r="C86" s="29">
        <v>2348595</v>
      </c>
      <c r="D86" s="22">
        <v>123907</v>
      </c>
      <c r="E86" s="22">
        <v>124913</v>
      </c>
      <c r="F86" s="22">
        <v>152912</v>
      </c>
      <c r="G86" s="22">
        <v>168114</v>
      </c>
      <c r="H86" s="22">
        <v>213033</v>
      </c>
      <c r="I86" s="22">
        <v>220511</v>
      </c>
      <c r="J86" s="22">
        <v>234593</v>
      </c>
      <c r="K86" s="22">
        <v>221535</v>
      </c>
      <c r="L86" s="22">
        <v>242359</v>
      </c>
      <c r="M86" s="22">
        <v>250266</v>
      </c>
      <c r="N86" s="22">
        <v>170402</v>
      </c>
      <c r="O86" s="22">
        <v>141123</v>
      </c>
      <c r="P86" s="29">
        <f t="shared" si="2"/>
        <v>2263668</v>
      </c>
      <c r="Q86" s="28">
        <v>-0.036</v>
      </c>
    </row>
    <row r="87" spans="1:17" ht="12.75">
      <c r="A87" s="1" t="s">
        <v>14</v>
      </c>
      <c r="B87" s="1" t="s">
        <v>387</v>
      </c>
      <c r="C87" s="29">
        <v>537835</v>
      </c>
      <c r="D87" s="22">
        <v>19765</v>
      </c>
      <c r="E87" s="22">
        <v>20962</v>
      </c>
      <c r="F87" s="22">
        <v>27011</v>
      </c>
      <c r="G87" s="22">
        <v>33028</v>
      </c>
      <c r="H87" s="22">
        <v>33206</v>
      </c>
      <c r="I87" s="22">
        <v>34508</v>
      </c>
      <c r="J87" s="22">
        <v>38698</v>
      </c>
      <c r="K87" s="22">
        <v>37405</v>
      </c>
      <c r="L87" s="22">
        <v>34746</v>
      </c>
      <c r="M87" s="22">
        <v>34583</v>
      </c>
      <c r="N87" s="22">
        <v>13745</v>
      </c>
      <c r="O87" s="22">
        <v>16411</v>
      </c>
      <c r="P87" s="29">
        <f t="shared" si="2"/>
        <v>344068</v>
      </c>
      <c r="Q87" s="28">
        <v>-0.36</v>
      </c>
    </row>
    <row r="88" spans="1:17" ht="12.75">
      <c r="A88" s="1" t="s">
        <v>14</v>
      </c>
      <c r="B88" s="1" t="s">
        <v>28</v>
      </c>
      <c r="C88" s="29">
        <v>34721605</v>
      </c>
      <c r="D88" s="22">
        <v>2566572</v>
      </c>
      <c r="E88" s="22">
        <v>2505148</v>
      </c>
      <c r="F88" s="22">
        <f>2967129</f>
        <v>2967129</v>
      </c>
      <c r="G88" s="22">
        <v>3089335</v>
      </c>
      <c r="H88" s="22">
        <v>3416351</v>
      </c>
      <c r="I88" s="22">
        <v>3391473</v>
      </c>
      <c r="J88" s="22">
        <v>3629125</v>
      </c>
      <c r="K88" s="22">
        <v>3421146</v>
      </c>
      <c r="L88" s="22">
        <v>3570607</v>
      </c>
      <c r="M88" s="22">
        <v>3423441</v>
      </c>
      <c r="N88" s="22">
        <v>2995212</v>
      </c>
      <c r="O88" s="22">
        <v>2788162</v>
      </c>
      <c r="P88" s="29">
        <f t="shared" si="2"/>
        <v>37763701</v>
      </c>
      <c r="Q88" s="28">
        <v>0.088</v>
      </c>
    </row>
    <row r="89" spans="1:17" ht="12.75">
      <c r="A89" s="1" t="s">
        <v>14</v>
      </c>
      <c r="B89" s="1" t="s">
        <v>388</v>
      </c>
      <c r="C89" s="29">
        <v>1332456</v>
      </c>
      <c r="D89" s="22">
        <v>63854</v>
      </c>
      <c r="E89" s="22">
        <v>62948</v>
      </c>
      <c r="F89" s="22">
        <v>86862</v>
      </c>
      <c r="G89" s="22">
        <v>96852</v>
      </c>
      <c r="H89" s="22">
        <v>136556</v>
      </c>
      <c r="I89" s="22">
        <v>137288</v>
      </c>
      <c r="J89" s="22">
        <v>153129</v>
      </c>
      <c r="K89" s="22">
        <v>154139</v>
      </c>
      <c r="L89" s="22">
        <v>155232</v>
      </c>
      <c r="M89" s="22">
        <v>144605</v>
      </c>
      <c r="N89" s="22">
        <v>76976</v>
      </c>
      <c r="O89" s="22">
        <v>55248</v>
      </c>
      <c r="P89" s="29">
        <f t="shared" si="2"/>
        <v>1323689</v>
      </c>
      <c r="Q89" s="28">
        <v>-0.007</v>
      </c>
    </row>
    <row r="90" spans="1:17" ht="12.75">
      <c r="A90" s="1" t="s">
        <v>14</v>
      </c>
      <c r="B90" s="1" t="s">
        <v>29</v>
      </c>
      <c r="C90" s="29">
        <v>4068709</v>
      </c>
      <c r="D90" s="22">
        <v>287024</v>
      </c>
      <c r="E90" s="22">
        <v>295683</v>
      </c>
      <c r="F90" s="22">
        <v>366951</v>
      </c>
      <c r="G90" s="22">
        <v>356339</v>
      </c>
      <c r="H90" s="22">
        <v>311914</v>
      </c>
      <c r="I90" s="22">
        <v>337711</v>
      </c>
      <c r="J90" s="22">
        <v>340262</v>
      </c>
      <c r="K90" s="22">
        <v>368272</v>
      </c>
      <c r="L90" s="22">
        <v>375979</v>
      </c>
      <c r="M90" s="22">
        <v>327996</v>
      </c>
      <c r="N90" s="22">
        <v>323439</v>
      </c>
      <c r="O90" s="22">
        <v>271047</v>
      </c>
      <c r="P90" s="29">
        <f t="shared" si="2"/>
        <v>3962617</v>
      </c>
      <c r="Q90" s="28">
        <v>-0.026</v>
      </c>
    </row>
    <row r="91" spans="1:17" ht="12.75">
      <c r="A91" s="1" t="s">
        <v>14</v>
      </c>
      <c r="B91" s="1" t="s">
        <v>30</v>
      </c>
      <c r="C91" s="29">
        <v>1028301</v>
      </c>
      <c r="D91" s="22">
        <v>50863</v>
      </c>
      <c r="E91" s="22">
        <v>46944</v>
      </c>
      <c r="F91" s="22">
        <v>63433</v>
      </c>
      <c r="G91" s="22">
        <v>73710</v>
      </c>
      <c r="H91" s="22">
        <v>91650</v>
      </c>
      <c r="I91" s="22">
        <v>101802</v>
      </c>
      <c r="J91" s="22">
        <v>115965</v>
      </c>
      <c r="K91" s="22">
        <v>112042</v>
      </c>
      <c r="L91" s="22">
        <v>110082</v>
      </c>
      <c r="M91" s="22">
        <v>110507</v>
      </c>
      <c r="N91" s="22">
        <v>60246</v>
      </c>
      <c r="O91" s="22">
        <v>37531</v>
      </c>
      <c r="P91" s="29">
        <f t="shared" si="2"/>
        <v>974775</v>
      </c>
      <c r="Q91" s="28">
        <v>-0.052</v>
      </c>
    </row>
    <row r="92" spans="1:17" ht="12.75">
      <c r="A92" s="1" t="s">
        <v>14</v>
      </c>
      <c r="B92" s="1" t="s">
        <v>386</v>
      </c>
      <c r="C92" s="29">
        <v>491299</v>
      </c>
      <c r="D92" s="22">
        <v>22955</v>
      </c>
      <c r="E92" s="22">
        <v>22887</v>
      </c>
      <c r="F92" s="22">
        <v>32232</v>
      </c>
      <c r="G92" s="22">
        <v>34449</v>
      </c>
      <c r="H92" s="22">
        <v>44504</v>
      </c>
      <c r="I92" s="22">
        <v>46189</v>
      </c>
      <c r="J92" s="22">
        <v>44895</v>
      </c>
      <c r="K92" s="22">
        <v>46490</v>
      </c>
      <c r="L92" s="22">
        <v>48903</v>
      </c>
      <c r="M92" s="22">
        <v>47585</v>
      </c>
      <c r="N92" s="22">
        <v>32231</v>
      </c>
      <c r="O92" s="22">
        <v>28994</v>
      </c>
      <c r="P92" s="29">
        <f t="shared" si="2"/>
        <v>452314</v>
      </c>
      <c r="Q92" s="28">
        <v>-0.079</v>
      </c>
    </row>
    <row r="93" spans="1:17" ht="12.75">
      <c r="A93" s="1" t="s">
        <v>14</v>
      </c>
      <c r="B93" s="1" t="s">
        <v>31</v>
      </c>
      <c r="C93" s="29">
        <v>9217012</v>
      </c>
      <c r="D93" s="22">
        <v>532551</v>
      </c>
      <c r="E93" s="22">
        <v>529105</v>
      </c>
      <c r="F93" s="22">
        <v>658555</v>
      </c>
      <c r="G93" s="22">
        <v>730157</v>
      </c>
      <c r="H93" s="22">
        <v>883722</v>
      </c>
      <c r="I93" s="22">
        <v>960762</v>
      </c>
      <c r="J93" s="22">
        <v>984733</v>
      </c>
      <c r="K93" s="22">
        <v>1024893</v>
      </c>
      <c r="L93" s="22">
        <v>1023855</v>
      </c>
      <c r="M93" s="22">
        <v>928799</v>
      </c>
      <c r="N93" s="22">
        <v>702590</v>
      </c>
      <c r="O93" s="22">
        <v>622543</v>
      </c>
      <c r="P93" s="29">
        <f t="shared" si="2"/>
        <v>9582265</v>
      </c>
      <c r="Q93" s="28">
        <v>0.04</v>
      </c>
    </row>
    <row r="94" spans="1:17" ht="12.75">
      <c r="A94" s="1" t="s">
        <v>14</v>
      </c>
      <c r="B94" s="1" t="s">
        <v>32</v>
      </c>
      <c r="C94" s="29">
        <v>2896730</v>
      </c>
      <c r="D94" s="22">
        <v>168273</v>
      </c>
      <c r="E94" s="22">
        <v>168758</v>
      </c>
      <c r="F94" s="22">
        <v>208707</v>
      </c>
      <c r="G94" s="22">
        <v>213377</v>
      </c>
      <c r="H94" s="22">
        <v>228047</v>
      </c>
      <c r="I94" s="22">
        <v>222059</v>
      </c>
      <c r="J94" s="22">
        <v>252737</v>
      </c>
      <c r="K94" s="22">
        <v>256907</v>
      </c>
      <c r="L94" s="22">
        <v>226584</v>
      </c>
      <c r="M94" s="22">
        <v>225641</v>
      </c>
      <c r="N94" s="22">
        <v>127762</v>
      </c>
      <c r="O94" s="22">
        <v>122256</v>
      </c>
      <c r="P94" s="29">
        <f t="shared" si="2"/>
        <v>2421108</v>
      </c>
      <c r="Q94" s="28">
        <v>-0.164</v>
      </c>
    </row>
    <row r="95" spans="1:17" ht="12.75">
      <c r="A95" s="1" t="s">
        <v>159</v>
      </c>
      <c r="B95" s="1" t="s">
        <v>66</v>
      </c>
      <c r="C95" s="29">
        <v>38303573</v>
      </c>
      <c r="D95" s="22">
        <v>1411474</v>
      </c>
      <c r="E95" s="22">
        <v>1258888</v>
      </c>
      <c r="F95" s="22">
        <v>1553428</v>
      </c>
      <c r="G95" s="22">
        <v>2272261</v>
      </c>
      <c r="H95" s="22">
        <v>3715790</v>
      </c>
      <c r="I95" s="22">
        <v>5011083</v>
      </c>
      <c r="J95" s="22">
        <v>6233150</v>
      </c>
      <c r="K95" s="22">
        <v>6391918</v>
      </c>
      <c r="L95" s="22">
        <v>5214887</v>
      </c>
      <c r="M95" s="23">
        <v>3156465</v>
      </c>
      <c r="N95" s="22">
        <v>1367620</v>
      </c>
      <c r="O95" s="22">
        <v>1405049</v>
      </c>
      <c r="P95" s="29">
        <f t="shared" si="2"/>
        <v>38992013</v>
      </c>
      <c r="Q95" s="28">
        <v>0.018</v>
      </c>
    </row>
    <row r="96" spans="1:17" ht="12.75">
      <c r="A96" s="1" t="s">
        <v>159</v>
      </c>
      <c r="B96" s="6" t="s">
        <v>160</v>
      </c>
      <c r="C96" s="29">
        <v>15411952</v>
      </c>
      <c r="D96" s="22">
        <v>897309</v>
      </c>
      <c r="E96" s="22">
        <v>795245</v>
      </c>
      <c r="F96" s="22">
        <v>977826</v>
      </c>
      <c r="G96" s="22">
        <v>1226552</v>
      </c>
      <c r="H96" s="22">
        <v>1334552</v>
      </c>
      <c r="I96" s="22">
        <v>1464750</v>
      </c>
      <c r="J96" s="22">
        <v>1694083</v>
      </c>
      <c r="K96" s="22">
        <v>1663244</v>
      </c>
      <c r="L96" s="22">
        <v>1476414</v>
      </c>
      <c r="M96" s="23">
        <v>1203434</v>
      </c>
      <c r="N96" s="22">
        <v>841507</v>
      </c>
      <c r="O96" s="22">
        <v>861148</v>
      </c>
      <c r="P96" s="29">
        <f t="shared" si="2"/>
        <v>14436064</v>
      </c>
      <c r="Q96" s="28">
        <v>-0.06123643880103724</v>
      </c>
    </row>
    <row r="97" spans="1:17" ht="12.75">
      <c r="A97" s="1" t="s">
        <v>159</v>
      </c>
      <c r="B97" s="1" t="s">
        <v>365</v>
      </c>
      <c r="C97" s="29">
        <v>4907337</v>
      </c>
      <c r="D97" s="22">
        <v>69101</v>
      </c>
      <c r="E97" s="22">
        <v>62403</v>
      </c>
      <c r="F97" s="22">
        <v>80974</v>
      </c>
      <c r="G97" s="22">
        <v>220291</v>
      </c>
      <c r="H97" s="22">
        <v>554357</v>
      </c>
      <c r="I97" s="22">
        <v>785345</v>
      </c>
      <c r="J97" s="22">
        <v>999220</v>
      </c>
      <c r="K97" s="22">
        <v>1061025</v>
      </c>
      <c r="L97" s="22">
        <v>835872</v>
      </c>
      <c r="M97" s="23">
        <v>484218</v>
      </c>
      <c r="N97" s="22">
        <v>72128</v>
      </c>
      <c r="O97" s="22">
        <v>67753</v>
      </c>
      <c r="P97" s="29">
        <f t="shared" si="2"/>
        <v>5292687</v>
      </c>
      <c r="Q97" s="28">
        <v>0.07852527755888783</v>
      </c>
    </row>
    <row r="98" spans="1:17" ht="12.75">
      <c r="A98" s="1" t="s">
        <v>159</v>
      </c>
      <c r="B98" s="1" t="s">
        <v>366</v>
      </c>
      <c r="C98" s="29">
        <v>3910751</v>
      </c>
      <c r="D98" s="22">
        <v>216613</v>
      </c>
      <c r="E98" s="22">
        <v>190294</v>
      </c>
      <c r="F98" s="22">
        <v>234026</v>
      </c>
      <c r="G98" s="22">
        <v>308649</v>
      </c>
      <c r="H98" s="22">
        <v>350009</v>
      </c>
      <c r="I98" s="22">
        <v>432951</v>
      </c>
      <c r="J98" s="22">
        <v>515157</v>
      </c>
      <c r="K98" s="22">
        <v>545280</v>
      </c>
      <c r="L98" s="22">
        <v>459556</v>
      </c>
      <c r="M98" s="23">
        <v>323349</v>
      </c>
      <c r="N98" s="22">
        <v>232412</v>
      </c>
      <c r="O98" s="22">
        <v>253401</v>
      </c>
      <c r="P98" s="29">
        <f t="shared" si="2"/>
        <v>4061697</v>
      </c>
      <c r="Q98" s="28">
        <v>0.03859770156678355</v>
      </c>
    </row>
    <row r="99" spans="1:17" ht="12.75">
      <c r="A99" s="1" t="s">
        <v>159</v>
      </c>
      <c r="B99" s="1" t="s">
        <v>367</v>
      </c>
      <c r="C99" s="29">
        <v>3586572</v>
      </c>
      <c r="D99" s="22">
        <v>48913</v>
      </c>
      <c r="E99" s="22">
        <v>42102</v>
      </c>
      <c r="F99" s="22">
        <v>53920</v>
      </c>
      <c r="G99" s="22">
        <v>167625</v>
      </c>
      <c r="H99" s="22">
        <v>431385</v>
      </c>
      <c r="I99" s="22">
        <v>641304</v>
      </c>
      <c r="J99" s="22">
        <v>806139</v>
      </c>
      <c r="K99" s="22">
        <v>818299</v>
      </c>
      <c r="L99" s="22">
        <v>666758</v>
      </c>
      <c r="M99" s="23">
        <v>381487</v>
      </c>
      <c r="N99" s="22">
        <v>43956</v>
      </c>
      <c r="O99" s="22">
        <v>47386</v>
      </c>
      <c r="P99" s="29">
        <f t="shared" si="2"/>
        <v>4149274</v>
      </c>
      <c r="Q99" s="28">
        <v>0.15689131571874193</v>
      </c>
    </row>
    <row r="100" spans="1:17" ht="12.75">
      <c r="A100" s="1" t="s">
        <v>159</v>
      </c>
      <c r="B100" s="1" t="s">
        <v>368</v>
      </c>
      <c r="C100" s="29">
        <v>1744761</v>
      </c>
      <c r="D100" s="22">
        <v>16841</v>
      </c>
      <c r="E100" s="22">
        <v>14854</v>
      </c>
      <c r="F100" s="22">
        <v>18179</v>
      </c>
      <c r="G100" s="22">
        <v>39738</v>
      </c>
      <c r="H100" s="22">
        <v>181667</v>
      </c>
      <c r="I100" s="22">
        <v>285290</v>
      </c>
      <c r="J100" s="22">
        <v>388991</v>
      </c>
      <c r="K100" s="22">
        <v>413149</v>
      </c>
      <c r="L100" s="22">
        <v>312155</v>
      </c>
      <c r="M100" s="23">
        <v>136788</v>
      </c>
      <c r="N100" s="22">
        <v>18607</v>
      </c>
      <c r="O100" s="22">
        <v>16684</v>
      </c>
      <c r="P100" s="29">
        <f t="shared" si="2"/>
        <v>1842943</v>
      </c>
      <c r="Q100" s="28">
        <v>0.05627246367840644</v>
      </c>
    </row>
    <row r="101" spans="1:17" ht="12.75">
      <c r="A101" s="1" t="s">
        <v>159</v>
      </c>
      <c r="B101" s="1" t="s">
        <v>369</v>
      </c>
      <c r="C101" s="29">
        <v>1654864</v>
      </c>
      <c r="D101" s="22">
        <v>30757</v>
      </c>
      <c r="E101" s="22">
        <v>31189</v>
      </c>
      <c r="F101" s="22">
        <v>43879</v>
      </c>
      <c r="G101" s="22">
        <v>79427</v>
      </c>
      <c r="H101" s="22">
        <v>189061</v>
      </c>
      <c r="I101" s="22">
        <v>261116</v>
      </c>
      <c r="J101" s="22">
        <v>342725</v>
      </c>
      <c r="K101" s="22">
        <v>308742</v>
      </c>
      <c r="L101" s="22">
        <v>272392</v>
      </c>
      <c r="M101" s="23">
        <v>153743</v>
      </c>
      <c r="N101" s="22">
        <v>30892</v>
      </c>
      <c r="O101" s="22">
        <v>30700</v>
      </c>
      <c r="P101" s="29">
        <f t="shared" si="2"/>
        <v>1774623</v>
      </c>
      <c r="Q101" s="28">
        <v>0.07236788038171116</v>
      </c>
    </row>
    <row r="102" spans="1:17" ht="12.75">
      <c r="A102" s="1" t="s">
        <v>159</v>
      </c>
      <c r="B102" s="1" t="s">
        <v>370</v>
      </c>
      <c r="C102" s="29">
        <v>1627240</v>
      </c>
      <c r="D102" s="22">
        <v>13774</v>
      </c>
      <c r="E102" s="22">
        <v>12332</v>
      </c>
      <c r="F102" s="22">
        <v>16649</v>
      </c>
      <c r="G102" s="22">
        <v>38426</v>
      </c>
      <c r="H102" s="22">
        <v>173091</v>
      </c>
      <c r="I102" s="22">
        <v>324583</v>
      </c>
      <c r="J102" s="22">
        <v>409042</v>
      </c>
      <c r="K102" s="22">
        <v>425658</v>
      </c>
      <c r="L102" s="22">
        <v>325445</v>
      </c>
      <c r="M102" s="23">
        <v>161181</v>
      </c>
      <c r="N102" s="22">
        <v>13243</v>
      </c>
      <c r="O102" s="22">
        <v>12795</v>
      </c>
      <c r="P102" s="29">
        <f t="shared" si="2"/>
        <v>1926219</v>
      </c>
      <c r="Q102" s="28">
        <v>0.18373380693689922</v>
      </c>
    </row>
    <row r="103" spans="1:17" ht="12.75">
      <c r="A103" s="1" t="s">
        <v>159</v>
      </c>
      <c r="B103" s="1" t="s">
        <v>371</v>
      </c>
      <c r="C103" s="29">
        <v>871064</v>
      </c>
      <c r="D103" s="22">
        <v>1132</v>
      </c>
      <c r="E103" s="22">
        <v>1091</v>
      </c>
      <c r="F103" s="22">
        <v>1539</v>
      </c>
      <c r="G103" s="22">
        <v>5556</v>
      </c>
      <c r="H103" s="22">
        <v>84401</v>
      </c>
      <c r="I103" s="22">
        <v>164895</v>
      </c>
      <c r="J103" s="22">
        <v>213332</v>
      </c>
      <c r="K103" s="22">
        <v>219895</v>
      </c>
      <c r="L103" s="22">
        <v>181410</v>
      </c>
      <c r="M103" s="23">
        <v>45274</v>
      </c>
      <c r="N103" s="22">
        <v>925</v>
      </c>
      <c r="O103" s="22">
        <v>953</v>
      </c>
      <c r="P103" s="29">
        <f t="shared" si="2"/>
        <v>920403</v>
      </c>
      <c r="Q103" s="28">
        <v>0.05664222146707942</v>
      </c>
    </row>
    <row r="104" spans="1:17" ht="12.75">
      <c r="A104" s="1" t="s">
        <v>159</v>
      </c>
      <c r="B104" s="1" t="s">
        <v>372</v>
      </c>
      <c r="C104" s="29">
        <v>722155</v>
      </c>
      <c r="D104" s="22">
        <v>6800</v>
      </c>
      <c r="E104" s="22">
        <v>7523</v>
      </c>
      <c r="F104" s="22">
        <v>10412</v>
      </c>
      <c r="G104" s="22">
        <v>27541</v>
      </c>
      <c r="H104" s="22">
        <v>74695</v>
      </c>
      <c r="I104" s="22">
        <v>119682</v>
      </c>
      <c r="J104" s="22">
        <v>159046</v>
      </c>
      <c r="K104" s="22">
        <v>183302</v>
      </c>
      <c r="L104" s="22">
        <v>125571</v>
      </c>
      <c r="M104" s="23">
        <v>52155</v>
      </c>
      <c r="N104" s="22">
        <v>8528</v>
      </c>
      <c r="O104" s="22">
        <v>6498</v>
      </c>
      <c r="P104" s="29">
        <f t="shared" si="2"/>
        <v>781753</v>
      </c>
      <c r="Q104" s="28">
        <v>0.08252798914360482</v>
      </c>
    </row>
    <row r="105" spans="1:17" ht="12.75">
      <c r="A105" s="1" t="s">
        <v>159</v>
      </c>
      <c r="B105" s="1" t="s">
        <v>373</v>
      </c>
      <c r="C105" s="29">
        <v>506581</v>
      </c>
      <c r="D105" s="22">
        <v>23451</v>
      </c>
      <c r="E105" s="22">
        <v>20916</v>
      </c>
      <c r="F105" s="22">
        <v>23763</v>
      </c>
      <c r="G105" s="22">
        <v>32908</v>
      </c>
      <c r="H105" s="22">
        <v>46192</v>
      </c>
      <c r="I105" s="22">
        <v>54248</v>
      </c>
      <c r="J105" s="22">
        <v>63880</v>
      </c>
      <c r="K105" s="22">
        <v>67649</v>
      </c>
      <c r="L105" s="22">
        <v>57203</v>
      </c>
      <c r="M105" s="23">
        <v>34740</v>
      </c>
      <c r="N105" s="22">
        <v>22078</v>
      </c>
      <c r="O105" s="22">
        <v>22346</v>
      </c>
      <c r="P105" s="29">
        <f t="shared" si="2"/>
        <v>469374</v>
      </c>
      <c r="Q105" s="28">
        <v>-0.07344728681099366</v>
      </c>
    </row>
    <row r="106" spans="1:17" ht="12.75">
      <c r="A106" s="1" t="s">
        <v>159</v>
      </c>
      <c r="B106" s="1" t="s">
        <v>374</v>
      </c>
      <c r="C106" s="29">
        <v>432455</v>
      </c>
      <c r="D106" s="22">
        <v>3389</v>
      </c>
      <c r="E106" s="22">
        <v>3710</v>
      </c>
      <c r="F106" s="22">
        <v>5138</v>
      </c>
      <c r="G106" s="22">
        <v>12477</v>
      </c>
      <c r="H106" s="22">
        <v>31484</v>
      </c>
      <c r="I106" s="22">
        <v>68711</v>
      </c>
      <c r="J106" s="22">
        <v>121336</v>
      </c>
      <c r="K106" s="22">
        <v>136965</v>
      </c>
      <c r="L106" s="22">
        <v>73326</v>
      </c>
      <c r="M106" s="23">
        <v>18079</v>
      </c>
      <c r="N106" s="22">
        <v>4073</v>
      </c>
      <c r="O106" s="22">
        <v>3118</v>
      </c>
      <c r="P106" s="29">
        <f t="shared" si="2"/>
        <v>481806</v>
      </c>
      <c r="Q106" s="28">
        <v>0.11411823195476978</v>
      </c>
    </row>
    <row r="107" spans="1:17" ht="12.75">
      <c r="A107" s="1" t="s">
        <v>159</v>
      </c>
      <c r="B107" s="1" t="s">
        <v>375</v>
      </c>
      <c r="C107" s="29">
        <v>410565</v>
      </c>
      <c r="D107" s="22">
        <v>10744</v>
      </c>
      <c r="E107" s="22">
        <v>10340</v>
      </c>
      <c r="F107" s="22">
        <v>11775</v>
      </c>
      <c r="G107" s="22">
        <v>15633</v>
      </c>
      <c r="H107" s="22">
        <v>37421</v>
      </c>
      <c r="I107" s="22">
        <v>58921</v>
      </c>
      <c r="J107" s="22">
        <v>73974</v>
      </c>
      <c r="K107" s="22">
        <v>83333</v>
      </c>
      <c r="L107" s="22">
        <v>62938</v>
      </c>
      <c r="M107" s="23">
        <v>23483</v>
      </c>
      <c r="N107" s="22">
        <v>9646</v>
      </c>
      <c r="O107" s="22">
        <v>10372</v>
      </c>
      <c r="P107" s="29">
        <f t="shared" si="2"/>
        <v>408580</v>
      </c>
      <c r="Q107" s="28">
        <v>-0.004834800823255714</v>
      </c>
    </row>
    <row r="108" spans="1:17" ht="12.75">
      <c r="A108" s="1" t="s">
        <v>159</v>
      </c>
      <c r="B108" s="1" t="s">
        <v>376</v>
      </c>
      <c r="C108" s="29">
        <v>355968</v>
      </c>
      <c r="D108" s="22">
        <v>2425</v>
      </c>
      <c r="E108" s="22">
        <v>2351</v>
      </c>
      <c r="F108" s="22">
        <v>2732</v>
      </c>
      <c r="G108" s="22">
        <v>4566</v>
      </c>
      <c r="H108" s="22">
        <v>41493</v>
      </c>
      <c r="I108" s="22">
        <v>61220</v>
      </c>
      <c r="J108" s="22">
        <v>71794</v>
      </c>
      <c r="K108" s="22">
        <v>74815</v>
      </c>
      <c r="L108" s="22">
        <v>61383</v>
      </c>
      <c r="M108" s="23">
        <v>18442</v>
      </c>
      <c r="N108" s="22">
        <v>2379</v>
      </c>
      <c r="O108" s="22">
        <v>2347</v>
      </c>
      <c r="P108" s="29">
        <f t="shared" si="2"/>
        <v>345947</v>
      </c>
      <c r="Q108" s="28">
        <v>-0.02815140686803308</v>
      </c>
    </row>
    <row r="109" spans="1:17" ht="12.75">
      <c r="A109" s="1" t="s">
        <v>159</v>
      </c>
      <c r="B109" s="1" t="s">
        <v>377</v>
      </c>
      <c r="C109" s="29">
        <v>296194</v>
      </c>
      <c r="D109" s="22">
        <v>8727</v>
      </c>
      <c r="E109" s="22">
        <v>7766</v>
      </c>
      <c r="F109" s="22">
        <v>8447</v>
      </c>
      <c r="G109" s="22">
        <v>9685</v>
      </c>
      <c r="H109" s="22">
        <v>23985</v>
      </c>
      <c r="I109" s="22">
        <v>37605</v>
      </c>
      <c r="J109" s="22">
        <v>47048</v>
      </c>
      <c r="K109" s="22">
        <v>47889</v>
      </c>
      <c r="L109" s="22">
        <v>35473</v>
      </c>
      <c r="M109" s="23">
        <v>12738</v>
      </c>
      <c r="N109" s="22">
        <v>6551</v>
      </c>
      <c r="O109" s="22">
        <v>6325</v>
      </c>
      <c r="P109" s="29">
        <f t="shared" si="2"/>
        <v>252239</v>
      </c>
      <c r="Q109" s="28">
        <v>-0.14839935987899822</v>
      </c>
    </row>
    <row r="110" spans="1:17" ht="12.75">
      <c r="A110" s="1" t="s">
        <v>159</v>
      </c>
      <c r="B110" s="1" t="s">
        <v>378</v>
      </c>
      <c r="C110" s="29">
        <v>292448</v>
      </c>
      <c r="D110" s="22">
        <v>211</v>
      </c>
      <c r="E110" s="22">
        <v>133</v>
      </c>
      <c r="F110" s="22">
        <v>152</v>
      </c>
      <c r="G110" s="22">
        <v>2858</v>
      </c>
      <c r="H110" s="22">
        <v>32202</v>
      </c>
      <c r="I110" s="22">
        <v>53676</v>
      </c>
      <c r="J110" s="22">
        <v>69002</v>
      </c>
      <c r="K110" s="22">
        <v>62787</v>
      </c>
      <c r="L110" s="22">
        <v>55273</v>
      </c>
      <c r="M110" s="23">
        <v>17040</v>
      </c>
      <c r="N110" s="22">
        <v>206</v>
      </c>
      <c r="O110" s="22">
        <v>447</v>
      </c>
      <c r="P110" s="29">
        <f t="shared" si="2"/>
        <v>293987</v>
      </c>
      <c r="Q110" s="28">
        <v>0.005262474012474039</v>
      </c>
    </row>
    <row r="111" spans="1:17" ht="12.75">
      <c r="A111" s="1" t="s">
        <v>159</v>
      </c>
      <c r="B111" s="1" t="s">
        <v>379</v>
      </c>
      <c r="C111" s="29">
        <v>288445</v>
      </c>
      <c r="D111" s="22">
        <v>18999</v>
      </c>
      <c r="E111" s="22">
        <v>18547</v>
      </c>
      <c r="F111" s="22">
        <v>20536</v>
      </c>
      <c r="G111" s="22">
        <v>20168</v>
      </c>
      <c r="H111" s="22">
        <v>21186</v>
      </c>
      <c r="I111" s="22">
        <v>20230</v>
      </c>
      <c r="J111" s="22">
        <v>23388</v>
      </c>
      <c r="K111" s="22">
        <v>22623</v>
      </c>
      <c r="L111" s="22">
        <v>20256</v>
      </c>
      <c r="M111" s="23">
        <v>17232</v>
      </c>
      <c r="N111" s="22">
        <v>15681</v>
      </c>
      <c r="O111" s="22">
        <v>19186</v>
      </c>
      <c r="P111" s="29">
        <f t="shared" si="2"/>
        <v>238032</v>
      </c>
      <c r="Q111" s="28">
        <v>-0.174775087104994</v>
      </c>
    </row>
    <row r="112" spans="1:17" ht="12.75">
      <c r="A112" s="1" t="s">
        <v>159</v>
      </c>
      <c r="B112" s="1" t="s">
        <v>380</v>
      </c>
      <c r="C112" s="29">
        <v>267141</v>
      </c>
      <c r="D112" s="22">
        <v>14855</v>
      </c>
      <c r="E112" s="22">
        <v>14149</v>
      </c>
      <c r="F112" s="22">
        <v>16355</v>
      </c>
      <c r="G112" s="22">
        <v>17924</v>
      </c>
      <c r="H112" s="22">
        <v>21725</v>
      </c>
      <c r="I112" s="22">
        <v>21540</v>
      </c>
      <c r="J112" s="22">
        <v>27268</v>
      </c>
      <c r="K112" s="22">
        <v>29075</v>
      </c>
      <c r="L112" s="22">
        <v>22443</v>
      </c>
      <c r="M112" s="23">
        <v>17447</v>
      </c>
      <c r="N112" s="22">
        <v>13647</v>
      </c>
      <c r="O112" s="22">
        <v>13006</v>
      </c>
      <c r="P112" s="29">
        <f t="shared" si="2"/>
        <v>229434</v>
      </c>
      <c r="Q112" s="28">
        <v>-0.14115017911889227</v>
      </c>
    </row>
    <row r="113" spans="1:17" ht="12.75">
      <c r="A113" s="1" t="s">
        <v>159</v>
      </c>
      <c r="B113" s="1" t="s">
        <v>381</v>
      </c>
      <c r="C113" s="29">
        <v>230489</v>
      </c>
      <c r="D113" s="22">
        <v>403</v>
      </c>
      <c r="E113" s="22">
        <v>406</v>
      </c>
      <c r="F113" s="22">
        <v>484</v>
      </c>
      <c r="G113" s="22">
        <v>1296</v>
      </c>
      <c r="H113" s="22">
        <v>21186</v>
      </c>
      <c r="I113" s="22">
        <v>46874</v>
      </c>
      <c r="J113" s="22">
        <v>61270</v>
      </c>
      <c r="K113" s="22">
        <v>63269</v>
      </c>
      <c r="L113" s="22">
        <v>46402</v>
      </c>
      <c r="M113" s="23">
        <v>3891</v>
      </c>
      <c r="N113" s="22">
        <v>453</v>
      </c>
      <c r="O113" s="22">
        <v>462</v>
      </c>
      <c r="P113" s="29">
        <f t="shared" si="2"/>
        <v>246396</v>
      </c>
      <c r="Q113" s="28">
        <v>0.06901413950340363</v>
      </c>
    </row>
    <row r="114" spans="1:17" ht="12.75">
      <c r="A114" s="1" t="s">
        <v>159</v>
      </c>
      <c r="B114" s="1" t="s">
        <v>382</v>
      </c>
      <c r="C114" s="29">
        <v>160173</v>
      </c>
      <c r="D114" s="22">
        <v>3117</v>
      </c>
      <c r="E114" s="22">
        <v>2796</v>
      </c>
      <c r="F114" s="22">
        <v>3281</v>
      </c>
      <c r="G114" s="22">
        <v>4814</v>
      </c>
      <c r="H114" s="22">
        <v>12037</v>
      </c>
      <c r="I114" s="22">
        <v>28323</v>
      </c>
      <c r="J114" s="22">
        <v>38505</v>
      </c>
      <c r="K114" s="22">
        <v>44121</v>
      </c>
      <c r="L114" s="22">
        <v>30221</v>
      </c>
      <c r="M114" s="23">
        <v>8210</v>
      </c>
      <c r="N114" s="22">
        <v>2774</v>
      </c>
      <c r="O114" s="22">
        <v>2866</v>
      </c>
      <c r="P114" s="29">
        <f t="shared" si="2"/>
        <v>181065</v>
      </c>
      <c r="Q114" s="28">
        <v>0.1304339682718061</v>
      </c>
    </row>
    <row r="115" spans="1:17" ht="12.75">
      <c r="A115" s="1" t="s">
        <v>159</v>
      </c>
      <c r="B115" s="1" t="s">
        <v>383</v>
      </c>
      <c r="C115" s="29">
        <v>120024</v>
      </c>
      <c r="D115" s="22">
        <v>7642</v>
      </c>
      <c r="E115" s="22">
        <v>6605</v>
      </c>
      <c r="F115" s="22">
        <v>7456</v>
      </c>
      <c r="G115" s="22">
        <v>8085</v>
      </c>
      <c r="H115" s="22">
        <v>8764</v>
      </c>
      <c r="I115" s="22">
        <v>8134</v>
      </c>
      <c r="J115" s="22">
        <v>8274</v>
      </c>
      <c r="K115" s="22">
        <v>7736</v>
      </c>
      <c r="L115" s="22">
        <v>7748</v>
      </c>
      <c r="M115" s="23">
        <v>6065</v>
      </c>
      <c r="N115" s="22">
        <v>6351</v>
      </c>
      <c r="O115" s="22">
        <v>5756</v>
      </c>
      <c r="P115" s="29">
        <f t="shared" si="2"/>
        <v>88616</v>
      </c>
      <c r="Q115" s="28">
        <v>-0.2616809971339066</v>
      </c>
    </row>
    <row r="116" spans="1:17" ht="12.75">
      <c r="A116" s="1" t="s">
        <v>159</v>
      </c>
      <c r="B116" s="1" t="s">
        <v>384</v>
      </c>
      <c r="C116" s="29">
        <v>109307</v>
      </c>
      <c r="D116" s="22">
        <v>5419</v>
      </c>
      <c r="E116" s="22">
        <v>5133</v>
      </c>
      <c r="F116" s="22">
        <v>5823</v>
      </c>
      <c r="G116" s="22">
        <v>6828</v>
      </c>
      <c r="H116" s="22">
        <v>7753</v>
      </c>
      <c r="I116" s="22">
        <v>9724</v>
      </c>
      <c r="J116" s="22">
        <v>12821</v>
      </c>
      <c r="K116" s="22">
        <v>13458</v>
      </c>
      <c r="L116" s="22">
        <v>9352</v>
      </c>
      <c r="M116" s="23">
        <v>6383</v>
      </c>
      <c r="N116" s="22">
        <v>4876</v>
      </c>
      <c r="O116" s="22">
        <v>5192</v>
      </c>
      <c r="P116" s="29">
        <f t="shared" si="2"/>
        <v>92762</v>
      </c>
      <c r="Q116" s="28">
        <v>-0.15136267576641937</v>
      </c>
    </row>
    <row r="117" spans="1:17" ht="12.75">
      <c r="A117" s="1" t="s">
        <v>234</v>
      </c>
      <c r="B117" s="6" t="s">
        <v>235</v>
      </c>
      <c r="C117" s="29">
        <v>8190089</v>
      </c>
      <c r="D117" s="24">
        <v>526921</v>
      </c>
      <c r="E117" s="24">
        <v>487858</v>
      </c>
      <c r="F117" s="24">
        <v>637468</v>
      </c>
      <c r="G117" s="24">
        <v>734461</v>
      </c>
      <c r="H117" s="24">
        <v>776704</v>
      </c>
      <c r="I117" s="24">
        <v>827457</v>
      </c>
      <c r="J117" s="24">
        <v>950396</v>
      </c>
      <c r="K117" s="24">
        <v>958559</v>
      </c>
      <c r="L117" s="24">
        <v>894188</v>
      </c>
      <c r="M117" s="22">
        <v>845815</v>
      </c>
      <c r="N117" s="22">
        <v>646171</v>
      </c>
      <c r="O117" s="22">
        <v>634655</v>
      </c>
      <c r="P117" s="29">
        <f t="shared" si="2"/>
        <v>8920653</v>
      </c>
      <c r="Q117" s="28">
        <v>0.089</v>
      </c>
    </row>
    <row r="118" spans="1:17" ht="12.75">
      <c r="A118" s="1" t="s">
        <v>177</v>
      </c>
      <c r="B118" s="6" t="s">
        <v>178</v>
      </c>
      <c r="C118" s="29">
        <v>1791838</v>
      </c>
      <c r="D118" s="22">
        <v>96352</v>
      </c>
      <c r="E118" s="22">
        <v>97161</v>
      </c>
      <c r="F118" s="22">
        <v>115608</v>
      </c>
      <c r="G118" s="22">
        <v>143084</v>
      </c>
      <c r="H118" s="22">
        <v>160240</v>
      </c>
      <c r="I118" s="22">
        <v>264098</v>
      </c>
      <c r="J118" s="22">
        <v>332501</v>
      </c>
      <c r="K118" s="22">
        <v>321955</v>
      </c>
      <c r="L118" s="22">
        <v>187096</v>
      </c>
      <c r="M118" s="22">
        <v>167413</v>
      </c>
      <c r="N118" s="22">
        <v>114604</v>
      </c>
      <c r="O118" s="22">
        <v>112030</v>
      </c>
      <c r="P118" s="29">
        <f t="shared" si="2"/>
        <v>2112142</v>
      </c>
      <c r="Q118" s="28">
        <f>P118/C118-1</f>
        <v>0.17875723140149957</v>
      </c>
    </row>
    <row r="119" spans="1:17" ht="12.75">
      <c r="A119" s="1" t="s">
        <v>80</v>
      </c>
      <c r="B119" s="1" t="s">
        <v>81</v>
      </c>
      <c r="C119" s="29">
        <v>2425131</v>
      </c>
      <c r="D119" s="32">
        <v>142138</v>
      </c>
      <c r="E119" s="32">
        <v>132583</v>
      </c>
      <c r="F119" s="32">
        <v>162571</v>
      </c>
      <c r="G119" s="32">
        <v>189989</v>
      </c>
      <c r="H119" s="32">
        <v>216196</v>
      </c>
      <c r="I119" s="32">
        <v>246189</v>
      </c>
      <c r="J119" s="32">
        <v>284291</v>
      </c>
      <c r="K119" s="32">
        <v>277395</v>
      </c>
      <c r="L119" s="32">
        <v>218155</v>
      </c>
      <c r="M119" s="32">
        <v>197873</v>
      </c>
      <c r="N119" s="32">
        <v>151537</v>
      </c>
      <c r="O119" s="32">
        <v>142934</v>
      </c>
      <c r="P119" s="29">
        <f t="shared" si="2"/>
        <v>2361851</v>
      </c>
      <c r="Q119" s="28">
        <v>-0.026</v>
      </c>
    </row>
    <row r="120" spans="1:17" ht="12.75">
      <c r="A120" s="1" t="s">
        <v>80</v>
      </c>
      <c r="B120" s="6" t="s">
        <v>152</v>
      </c>
      <c r="C120" s="29">
        <v>18431625</v>
      </c>
      <c r="D120" s="37">
        <v>1195593</v>
      </c>
      <c r="E120" s="37">
        <v>1189212</v>
      </c>
      <c r="F120" s="37">
        <v>1443067</v>
      </c>
      <c r="G120" s="32">
        <v>1571013</v>
      </c>
      <c r="H120" s="32">
        <v>1740833</v>
      </c>
      <c r="I120" s="32">
        <v>1837286</v>
      </c>
      <c r="J120" s="32">
        <v>2046057</v>
      </c>
      <c r="K120" s="32">
        <v>1971665</v>
      </c>
      <c r="L120" s="32">
        <v>1702280</v>
      </c>
      <c r="M120" s="32">
        <v>1546914</v>
      </c>
      <c r="N120" s="32">
        <v>1266684</v>
      </c>
      <c r="O120" s="32">
        <v>1230491</v>
      </c>
      <c r="P120" s="29">
        <f t="shared" si="2"/>
        <v>18741095</v>
      </c>
      <c r="Q120" s="28">
        <v>0.017</v>
      </c>
    </row>
    <row r="121" spans="1:17" ht="12.75">
      <c r="A121" s="1" t="s">
        <v>80</v>
      </c>
      <c r="B121" s="6" t="s">
        <v>283</v>
      </c>
      <c r="C121" s="29">
        <v>589193</v>
      </c>
      <c r="D121" s="30">
        <v>31168</v>
      </c>
      <c r="E121" s="30">
        <v>37623</v>
      </c>
      <c r="F121" s="30">
        <v>45059</v>
      </c>
      <c r="G121" s="26">
        <v>57345</v>
      </c>
      <c r="H121" s="30">
        <v>59818</v>
      </c>
      <c r="I121" s="30">
        <v>62886</v>
      </c>
      <c r="J121" s="26">
        <v>73237</v>
      </c>
      <c r="K121" s="26">
        <v>84052</v>
      </c>
      <c r="L121" s="26">
        <v>63852</v>
      </c>
      <c r="M121" s="26">
        <v>60788</v>
      </c>
      <c r="N121" s="26">
        <v>39480</v>
      </c>
      <c r="O121" s="26">
        <v>39245</v>
      </c>
      <c r="P121" s="29">
        <f t="shared" si="2"/>
        <v>654553</v>
      </c>
      <c r="Q121" s="28">
        <v>0.111</v>
      </c>
    </row>
    <row r="122" spans="1:17" ht="12.75">
      <c r="A122" s="1" t="s">
        <v>80</v>
      </c>
      <c r="B122" s="6" t="s">
        <v>243</v>
      </c>
      <c r="C122" s="29">
        <v>1756007</v>
      </c>
      <c r="D122" s="33">
        <v>92147</v>
      </c>
      <c r="E122" s="33">
        <v>100454</v>
      </c>
      <c r="F122" s="33">
        <v>113389</v>
      </c>
      <c r="G122" s="33">
        <v>138672</v>
      </c>
      <c r="H122" s="33">
        <v>148365</v>
      </c>
      <c r="I122" s="33">
        <v>170932</v>
      </c>
      <c r="J122" s="33">
        <v>183532</v>
      </c>
      <c r="K122" s="33">
        <v>182952</v>
      </c>
      <c r="L122" s="33">
        <v>153430</v>
      </c>
      <c r="M122" s="33">
        <v>134609</v>
      </c>
      <c r="N122" s="33">
        <v>102321</v>
      </c>
      <c r="O122" s="33">
        <v>104746</v>
      </c>
      <c r="P122" s="29">
        <f t="shared" si="2"/>
        <v>1625549</v>
      </c>
      <c r="Q122" s="28">
        <v>-0.074</v>
      </c>
    </row>
    <row r="123" spans="1:17" ht="12.75">
      <c r="A123" s="1" t="s">
        <v>95</v>
      </c>
      <c r="B123" s="8" t="s">
        <v>102</v>
      </c>
      <c r="C123" s="29">
        <v>1387287</v>
      </c>
      <c r="D123" s="22">
        <v>77579</v>
      </c>
      <c r="E123" s="22">
        <v>71500</v>
      </c>
      <c r="F123" s="22">
        <v>93518</v>
      </c>
      <c r="G123" s="22">
        <v>122560</v>
      </c>
      <c r="H123" s="22">
        <v>132805</v>
      </c>
      <c r="I123" s="22">
        <v>158535</v>
      </c>
      <c r="J123" s="22">
        <v>190927</v>
      </c>
      <c r="K123" s="22">
        <v>202123</v>
      </c>
      <c r="L123" s="22">
        <v>160247</v>
      </c>
      <c r="M123" s="22">
        <v>133479</v>
      </c>
      <c r="N123" s="22">
        <v>81793</v>
      </c>
      <c r="O123" s="22">
        <v>88179</v>
      </c>
      <c r="P123" s="29">
        <f t="shared" si="2"/>
        <v>1513245</v>
      </c>
      <c r="Q123" s="28">
        <v>0.091</v>
      </c>
    </row>
    <row r="124" spans="1:17" ht="12.75">
      <c r="A124" s="1" t="s">
        <v>95</v>
      </c>
      <c r="B124" s="8" t="s">
        <v>66</v>
      </c>
      <c r="C124" s="29">
        <v>139570874</v>
      </c>
      <c r="D124" s="22">
        <v>9600906</v>
      </c>
      <c r="E124" s="22">
        <v>8785599</v>
      </c>
      <c r="F124" s="22">
        <v>10953636</v>
      </c>
      <c r="G124" s="22">
        <v>12285535</v>
      </c>
      <c r="H124" s="22">
        <v>13100642</v>
      </c>
      <c r="I124" s="22">
        <v>13976611</v>
      </c>
      <c r="J124" s="22">
        <v>15796473</v>
      </c>
      <c r="K124" s="22">
        <v>15999864</v>
      </c>
      <c r="L124" s="22">
        <v>14613626</v>
      </c>
      <c r="M124" s="22">
        <v>13135475</v>
      </c>
      <c r="N124" s="22">
        <v>10032602</v>
      </c>
      <c r="O124" s="22">
        <v>10174643</v>
      </c>
      <c r="P124" s="29">
        <v>148472644</v>
      </c>
      <c r="Q124" s="28">
        <v>0.064</v>
      </c>
    </row>
    <row r="125" spans="1:17" ht="12.75">
      <c r="A125" s="1" t="s">
        <v>95</v>
      </c>
      <c r="B125" s="8" t="s">
        <v>110</v>
      </c>
      <c r="C125" s="29">
        <v>510605</v>
      </c>
      <c r="D125" s="22">
        <v>33492</v>
      </c>
      <c r="E125" s="22">
        <v>31474</v>
      </c>
      <c r="F125" s="22">
        <v>41599</v>
      </c>
      <c r="G125" s="22">
        <v>49370</v>
      </c>
      <c r="H125" s="22">
        <v>56714</v>
      </c>
      <c r="I125" s="22">
        <v>58300</v>
      </c>
      <c r="J125" s="22">
        <v>68731</v>
      </c>
      <c r="K125" s="22">
        <v>73798</v>
      </c>
      <c r="L125" s="22">
        <v>62269</v>
      </c>
      <c r="M125" s="22">
        <v>55262</v>
      </c>
      <c r="N125" s="22">
        <v>36116</v>
      </c>
      <c r="O125" s="22">
        <v>34720</v>
      </c>
      <c r="P125" s="29">
        <f t="shared" si="2"/>
        <v>601845</v>
      </c>
      <c r="Q125" s="28">
        <v>0.179</v>
      </c>
    </row>
    <row r="126" spans="1:17" ht="12.75">
      <c r="A126" s="1" t="s">
        <v>95</v>
      </c>
      <c r="B126" s="8" t="s">
        <v>97</v>
      </c>
      <c r="C126" s="29">
        <v>3394241</v>
      </c>
      <c r="D126" s="22">
        <v>241537</v>
      </c>
      <c r="E126" s="22">
        <v>228118</v>
      </c>
      <c r="F126" s="22">
        <v>279013</v>
      </c>
      <c r="G126" s="22">
        <v>310979</v>
      </c>
      <c r="H126" s="22">
        <v>325468</v>
      </c>
      <c r="I126" s="22">
        <v>328920</v>
      </c>
      <c r="J126" s="22">
        <v>360506</v>
      </c>
      <c r="K126" s="22">
        <v>386365</v>
      </c>
      <c r="L126" s="22">
        <v>355066</v>
      </c>
      <c r="M126" s="22">
        <v>341114</v>
      </c>
      <c r="N126" s="22">
        <v>277388</v>
      </c>
      <c r="O126" s="22">
        <v>287405</v>
      </c>
      <c r="P126" s="29">
        <v>3721506</v>
      </c>
      <c r="Q126" s="28">
        <v>0.096</v>
      </c>
    </row>
    <row r="127" spans="1:17" ht="12.75">
      <c r="A127" s="1" t="s">
        <v>95</v>
      </c>
      <c r="B127" s="8" t="s">
        <v>83</v>
      </c>
      <c r="C127" s="29">
        <v>5503106</v>
      </c>
      <c r="D127" s="22">
        <v>425925</v>
      </c>
      <c r="E127" s="22">
        <v>360999</v>
      </c>
      <c r="F127" s="22">
        <v>470890</v>
      </c>
      <c r="G127" s="22">
        <v>483598</v>
      </c>
      <c r="H127" s="22">
        <v>505873</v>
      </c>
      <c r="I127" s="22">
        <v>533345</v>
      </c>
      <c r="J127" s="22">
        <v>607842</v>
      </c>
      <c r="K127" s="22">
        <v>619489</v>
      </c>
      <c r="L127" s="22">
        <v>570616</v>
      </c>
      <c r="M127" s="22">
        <v>502914</v>
      </c>
      <c r="N127" s="22">
        <v>394945</v>
      </c>
      <c r="O127" s="22">
        <v>399285</v>
      </c>
      <c r="P127" s="29">
        <v>5876213</v>
      </c>
      <c r="Q127" s="28">
        <v>0.068</v>
      </c>
    </row>
    <row r="128" spans="1:17" ht="12.75">
      <c r="A128" s="1" t="s">
        <v>95</v>
      </c>
      <c r="B128" s="8" t="s">
        <v>112</v>
      </c>
      <c r="C128" s="29">
        <v>160741</v>
      </c>
      <c r="D128" s="22">
        <v>4926</v>
      </c>
      <c r="E128" s="22">
        <v>3894</v>
      </c>
      <c r="F128" s="22">
        <v>3750</v>
      </c>
      <c r="G128" s="22">
        <v>2365</v>
      </c>
      <c r="H128" s="22">
        <v>1356</v>
      </c>
      <c r="I128" s="22">
        <v>2090</v>
      </c>
      <c r="J128" s="22">
        <v>5040</v>
      </c>
      <c r="K128" s="22">
        <v>1472</v>
      </c>
      <c r="L128" s="22">
        <v>1764</v>
      </c>
      <c r="M128" s="22">
        <v>2238</v>
      </c>
      <c r="N128" s="22">
        <v>197</v>
      </c>
      <c r="O128" s="22">
        <v>550</v>
      </c>
      <c r="P128" s="29">
        <v>29828</v>
      </c>
      <c r="Q128" s="28">
        <v>-0.814</v>
      </c>
    </row>
    <row r="129" spans="1:17" ht="12.75">
      <c r="A129" s="1" t="s">
        <v>95</v>
      </c>
      <c r="B129" s="8" t="s">
        <v>104</v>
      </c>
      <c r="C129" s="29">
        <v>1604306</v>
      </c>
      <c r="D129" s="22">
        <v>119261</v>
      </c>
      <c r="E129" s="22">
        <v>113727</v>
      </c>
      <c r="F129" s="22">
        <v>137211</v>
      </c>
      <c r="G129" s="22">
        <v>153890</v>
      </c>
      <c r="H129" s="22">
        <v>176495</v>
      </c>
      <c r="I129" s="22">
        <v>200759</v>
      </c>
      <c r="J129" s="22">
        <v>231225</v>
      </c>
      <c r="K129" s="22">
        <v>228401</v>
      </c>
      <c r="L129" s="22">
        <v>205094</v>
      </c>
      <c r="M129" s="22">
        <v>185101</v>
      </c>
      <c r="N129" s="22">
        <v>150015</v>
      </c>
      <c r="O129" s="22">
        <v>153815</v>
      </c>
      <c r="P129" s="29">
        <v>2055542</v>
      </c>
      <c r="Q129" s="28">
        <v>0.281</v>
      </c>
    </row>
    <row r="130" spans="1:17" ht="12.75">
      <c r="A130" s="1" t="s">
        <v>95</v>
      </c>
      <c r="B130" s="8" t="s">
        <v>96</v>
      </c>
      <c r="C130" s="29">
        <v>3438298</v>
      </c>
      <c r="D130" s="22">
        <v>202163</v>
      </c>
      <c r="E130" s="22">
        <v>182121</v>
      </c>
      <c r="F130" s="22">
        <v>230971</v>
      </c>
      <c r="G130" s="22">
        <v>299349</v>
      </c>
      <c r="H130" s="22">
        <v>336103</v>
      </c>
      <c r="I130" s="22">
        <v>388767</v>
      </c>
      <c r="J130" s="22">
        <v>451611</v>
      </c>
      <c r="K130" s="22">
        <v>467141</v>
      </c>
      <c r="L130" s="22">
        <v>388051</v>
      </c>
      <c r="M130" s="22">
        <v>311010</v>
      </c>
      <c r="N130" s="22">
        <v>209170</v>
      </c>
      <c r="O130" s="22">
        <v>227785</v>
      </c>
      <c r="P130" s="29">
        <v>3693982</v>
      </c>
      <c r="Q130" s="28">
        <v>0.074</v>
      </c>
    </row>
    <row r="131" spans="1:17" ht="12.75">
      <c r="A131" s="1" t="s">
        <v>95</v>
      </c>
      <c r="B131" s="8" t="s">
        <v>84</v>
      </c>
      <c r="C131" s="29">
        <v>6318177</v>
      </c>
      <c r="D131" s="22">
        <v>406203</v>
      </c>
      <c r="E131" s="22">
        <v>363614</v>
      </c>
      <c r="F131" s="22">
        <v>454107</v>
      </c>
      <c r="G131" s="22">
        <v>574357</v>
      </c>
      <c r="H131" s="22">
        <v>608936</v>
      </c>
      <c r="I131" s="22">
        <v>651292</v>
      </c>
      <c r="J131" s="22">
        <v>734048</v>
      </c>
      <c r="K131" s="22">
        <v>793567</v>
      </c>
      <c r="L131" s="22">
        <v>694394</v>
      </c>
      <c r="M131" s="22">
        <v>596584</v>
      </c>
      <c r="N131" s="22">
        <v>433169</v>
      </c>
      <c r="O131" s="22">
        <v>479200</v>
      </c>
      <c r="P131" s="29">
        <v>6789601</v>
      </c>
      <c r="Q131" s="28">
        <v>0.075</v>
      </c>
    </row>
    <row r="132" spans="1:17" ht="12.75">
      <c r="A132" s="1" t="s">
        <v>95</v>
      </c>
      <c r="B132" s="8" t="s">
        <v>98</v>
      </c>
      <c r="C132" s="29">
        <v>1724924</v>
      </c>
      <c r="D132" s="22">
        <v>129192</v>
      </c>
      <c r="E132" s="22">
        <v>100144</v>
      </c>
      <c r="F132" s="22">
        <v>141211</v>
      </c>
      <c r="G132" s="22">
        <v>172364</v>
      </c>
      <c r="H132" s="22">
        <v>185204</v>
      </c>
      <c r="I132" s="22">
        <v>186099</v>
      </c>
      <c r="J132" s="22">
        <v>196601</v>
      </c>
      <c r="K132" s="22">
        <v>187673</v>
      </c>
      <c r="L132" s="22">
        <v>183449</v>
      </c>
      <c r="M132" s="22">
        <v>169077</v>
      </c>
      <c r="N132" s="22">
        <v>126237</v>
      </c>
      <c r="O132" s="22">
        <v>115931</v>
      </c>
      <c r="P132" s="29">
        <f t="shared" si="2"/>
        <v>1893182</v>
      </c>
      <c r="Q132" s="28">
        <v>0.098</v>
      </c>
    </row>
    <row r="133" spans="1:17" ht="12.75">
      <c r="A133" s="1" t="s">
        <v>95</v>
      </c>
      <c r="B133" s="8" t="s">
        <v>106</v>
      </c>
      <c r="C133" s="29">
        <v>639820</v>
      </c>
      <c r="D133" s="22">
        <v>39276</v>
      </c>
      <c r="E133" s="22">
        <v>33431</v>
      </c>
      <c r="F133" s="22">
        <v>39196</v>
      </c>
      <c r="G133" s="22">
        <v>27421</v>
      </c>
      <c r="H133" s="22">
        <v>25474</v>
      </c>
      <c r="I133" s="22">
        <v>25500</v>
      </c>
      <c r="J133" s="22">
        <v>29353</v>
      </c>
      <c r="K133" s="22">
        <v>30297</v>
      </c>
      <c r="L133" s="22">
        <v>30364</v>
      </c>
      <c r="M133" s="22">
        <v>26725</v>
      </c>
      <c r="N133" s="22">
        <v>18630</v>
      </c>
      <c r="O133" s="22">
        <v>19511</v>
      </c>
      <c r="P133" s="29">
        <v>345135</v>
      </c>
      <c r="Q133" s="28">
        <v>-0.461</v>
      </c>
    </row>
    <row r="134" spans="1:17" ht="12.75">
      <c r="A134" s="1" t="s">
        <v>95</v>
      </c>
      <c r="B134" s="8" t="s">
        <v>103</v>
      </c>
      <c r="C134" s="29">
        <v>1278037</v>
      </c>
      <c r="D134" s="22">
        <v>86795</v>
      </c>
      <c r="E134" s="22">
        <v>85538</v>
      </c>
      <c r="F134" s="22">
        <v>100523</v>
      </c>
      <c r="G134" s="22">
        <v>115894</v>
      </c>
      <c r="H134" s="22">
        <v>122499</v>
      </c>
      <c r="I134" s="22">
        <v>125688</v>
      </c>
      <c r="J134" s="22">
        <v>140381</v>
      </c>
      <c r="K134" s="22">
        <v>129846</v>
      </c>
      <c r="L134" s="22">
        <v>140399</v>
      </c>
      <c r="M134" s="22">
        <v>131182</v>
      </c>
      <c r="N134" s="22">
        <v>110073</v>
      </c>
      <c r="O134" s="22">
        <v>107795</v>
      </c>
      <c r="P134" s="29">
        <v>1397022</v>
      </c>
      <c r="Q134" s="28">
        <v>0.093</v>
      </c>
    </row>
    <row r="135" spans="1:17" ht="12.75">
      <c r="A135" s="1" t="s">
        <v>95</v>
      </c>
      <c r="B135" s="8" t="s">
        <v>101</v>
      </c>
      <c r="C135" s="29">
        <v>1915074</v>
      </c>
      <c r="D135" s="22">
        <v>122247</v>
      </c>
      <c r="E135" s="22">
        <v>109883</v>
      </c>
      <c r="F135" s="22">
        <v>130096</v>
      </c>
      <c r="G135" s="22">
        <v>165749</v>
      </c>
      <c r="H135" s="22">
        <v>202764</v>
      </c>
      <c r="I135" s="22">
        <v>238050</v>
      </c>
      <c r="J135" s="22">
        <v>283444</v>
      </c>
      <c r="K135" s="22">
        <v>291483</v>
      </c>
      <c r="L135" s="22">
        <v>246501</v>
      </c>
      <c r="M135" s="22">
        <v>210595</v>
      </c>
      <c r="N135" s="22">
        <v>147300</v>
      </c>
      <c r="O135" s="22">
        <v>152348</v>
      </c>
      <c r="P135" s="29">
        <f t="shared" si="2"/>
        <v>2300460</v>
      </c>
      <c r="Q135" s="28">
        <v>0.201</v>
      </c>
    </row>
    <row r="136" spans="1:17" ht="12.75">
      <c r="A136" s="1" t="s">
        <v>95</v>
      </c>
      <c r="B136" s="8" t="s">
        <v>82</v>
      </c>
      <c r="C136" s="29">
        <v>7674604</v>
      </c>
      <c r="D136" s="22">
        <v>554835</v>
      </c>
      <c r="E136" s="22">
        <v>521459</v>
      </c>
      <c r="F136" s="22">
        <v>649258</v>
      </c>
      <c r="G136" s="22">
        <v>685386</v>
      </c>
      <c r="H136" s="22">
        <v>727428</v>
      </c>
      <c r="I136" s="22">
        <v>777494</v>
      </c>
      <c r="J136" s="22">
        <v>861445</v>
      </c>
      <c r="K136" s="22">
        <v>905756</v>
      </c>
      <c r="L136" s="22">
        <v>780868</v>
      </c>
      <c r="M136" s="22">
        <v>740874</v>
      </c>
      <c r="N136" s="22">
        <v>594067</v>
      </c>
      <c r="O136" s="22">
        <v>618091</v>
      </c>
      <c r="P136" s="29">
        <f t="shared" si="2"/>
        <v>8416961</v>
      </c>
      <c r="Q136" s="28">
        <v>0.097</v>
      </c>
    </row>
    <row r="137" spans="1:17" ht="12.75">
      <c r="A137" s="1" t="s">
        <v>95</v>
      </c>
      <c r="B137" s="8" t="s">
        <v>85</v>
      </c>
      <c r="C137" s="29">
        <v>8296450</v>
      </c>
      <c r="D137" s="22">
        <v>616602</v>
      </c>
      <c r="E137" s="22">
        <v>603458</v>
      </c>
      <c r="F137" s="22">
        <v>717466</v>
      </c>
      <c r="G137" s="22">
        <v>744514</v>
      </c>
      <c r="H137" s="22">
        <v>772155</v>
      </c>
      <c r="I137" s="22">
        <v>821867</v>
      </c>
      <c r="J137" s="22">
        <v>918080</v>
      </c>
      <c r="K137" s="22">
        <v>797775</v>
      </c>
      <c r="L137" s="22">
        <v>879444</v>
      </c>
      <c r="M137" s="22">
        <v>799990</v>
      </c>
      <c r="N137" s="22">
        <v>718939</v>
      </c>
      <c r="O137" s="22">
        <v>673537</v>
      </c>
      <c r="P137" s="29">
        <f t="shared" si="2"/>
        <v>9063827</v>
      </c>
      <c r="Q137" s="28">
        <v>0.092</v>
      </c>
    </row>
    <row r="138" spans="1:17" ht="12.75">
      <c r="A138" s="1" t="s">
        <v>95</v>
      </c>
      <c r="B138" s="8" t="s">
        <v>86</v>
      </c>
      <c r="C138" s="29">
        <v>18947808</v>
      </c>
      <c r="D138" s="22">
        <v>1434986</v>
      </c>
      <c r="E138" s="22">
        <v>1260170</v>
      </c>
      <c r="F138" s="22">
        <v>1548625</v>
      </c>
      <c r="G138" s="22">
        <v>1623863</v>
      </c>
      <c r="H138" s="22">
        <v>1613031</v>
      </c>
      <c r="I138" s="22">
        <v>1736083</v>
      </c>
      <c r="J138" s="22">
        <v>1969070</v>
      </c>
      <c r="K138" s="22">
        <v>2027769</v>
      </c>
      <c r="L138" s="22">
        <v>1827761</v>
      </c>
      <c r="M138" s="22">
        <v>1612281</v>
      </c>
      <c r="N138" s="22">
        <v>1291290</v>
      </c>
      <c r="O138" s="22">
        <v>1346498</v>
      </c>
      <c r="P138" s="29">
        <f t="shared" si="2"/>
        <v>19291427</v>
      </c>
      <c r="Q138" s="28">
        <v>0.018</v>
      </c>
    </row>
    <row r="139" spans="1:17" ht="12.75">
      <c r="A139" s="1" t="s">
        <v>95</v>
      </c>
      <c r="B139" s="8" t="s">
        <v>87</v>
      </c>
      <c r="C139" s="29">
        <v>5571738</v>
      </c>
      <c r="D139" s="22">
        <v>339004</v>
      </c>
      <c r="E139" s="22">
        <v>320552</v>
      </c>
      <c r="F139" s="22">
        <v>391049</v>
      </c>
      <c r="G139" s="22">
        <v>494079</v>
      </c>
      <c r="H139" s="22">
        <v>539947</v>
      </c>
      <c r="I139" s="22">
        <v>546775</v>
      </c>
      <c r="J139" s="22">
        <v>601112</v>
      </c>
      <c r="K139" s="22">
        <v>630301</v>
      </c>
      <c r="L139" s="22">
        <v>592261</v>
      </c>
      <c r="M139" s="22">
        <v>543935</v>
      </c>
      <c r="N139" s="22">
        <v>380890</v>
      </c>
      <c r="O139" s="22">
        <v>376695</v>
      </c>
      <c r="P139" s="29">
        <f t="shared" si="2"/>
        <v>5756600</v>
      </c>
      <c r="Q139" s="28">
        <v>0.033</v>
      </c>
    </row>
    <row r="140" spans="1:17" ht="12.75">
      <c r="A140" s="1" t="s">
        <v>95</v>
      </c>
      <c r="B140" s="8" t="s">
        <v>99</v>
      </c>
      <c r="C140" s="29">
        <v>1635197</v>
      </c>
      <c r="D140" s="22">
        <v>48321</v>
      </c>
      <c r="E140" s="22">
        <v>45574</v>
      </c>
      <c r="F140" s="22">
        <v>55341</v>
      </c>
      <c r="G140" s="22">
        <v>107399</v>
      </c>
      <c r="H140" s="22">
        <v>148828</v>
      </c>
      <c r="I140" s="22">
        <v>246041</v>
      </c>
      <c r="J140" s="22">
        <v>362337</v>
      </c>
      <c r="K140" s="22">
        <v>373549</v>
      </c>
      <c r="L140" s="22">
        <v>240722</v>
      </c>
      <c r="M140" s="22">
        <v>124606</v>
      </c>
      <c r="N140" s="22">
        <v>47498</v>
      </c>
      <c r="O140" s="22">
        <v>50695</v>
      </c>
      <c r="P140" s="29">
        <f t="shared" si="2"/>
        <v>1850911</v>
      </c>
      <c r="Q140" s="28">
        <v>0.141</v>
      </c>
    </row>
    <row r="141" spans="1:17" ht="12.75">
      <c r="A141" s="1" t="s">
        <v>95</v>
      </c>
      <c r="B141" s="8" t="s">
        <v>88</v>
      </c>
      <c r="C141" s="29">
        <v>4363546</v>
      </c>
      <c r="D141" s="22">
        <v>298440</v>
      </c>
      <c r="E141" s="22">
        <v>255476</v>
      </c>
      <c r="F141" s="22">
        <v>369764</v>
      </c>
      <c r="G141" s="22">
        <v>440253</v>
      </c>
      <c r="H141" s="22">
        <v>463523</v>
      </c>
      <c r="I141" s="22">
        <v>470516</v>
      </c>
      <c r="J141" s="22">
        <v>536155</v>
      </c>
      <c r="K141" s="22">
        <v>570187</v>
      </c>
      <c r="L141" s="22">
        <v>518501</v>
      </c>
      <c r="M141" s="22">
        <v>436683</v>
      </c>
      <c r="N141" s="22">
        <v>304162</v>
      </c>
      <c r="O141" s="22">
        <v>325182</v>
      </c>
      <c r="P141" s="29">
        <v>4988832</v>
      </c>
      <c r="Q141" s="28">
        <v>0.143</v>
      </c>
    </row>
    <row r="142" spans="1:17" ht="12.75">
      <c r="A142" s="1" t="s">
        <v>95</v>
      </c>
      <c r="B142" s="8" t="s">
        <v>296</v>
      </c>
      <c r="C142" s="29">
        <v>238812</v>
      </c>
      <c r="D142" s="22">
        <v>12598</v>
      </c>
      <c r="E142" s="22">
        <v>12408</v>
      </c>
      <c r="F142" s="22">
        <v>16696</v>
      </c>
      <c r="G142" s="22">
        <v>25718</v>
      </c>
      <c r="H142" s="22">
        <v>27171</v>
      </c>
      <c r="I142" s="22">
        <v>29649</v>
      </c>
      <c r="J142" s="22">
        <v>31398</v>
      </c>
      <c r="K142" s="22">
        <v>30804</v>
      </c>
      <c r="L142" s="22">
        <v>28863</v>
      </c>
      <c r="M142" s="22">
        <v>26674</v>
      </c>
      <c r="N142" s="22">
        <v>13155</v>
      </c>
      <c r="O142" s="22">
        <v>13869</v>
      </c>
      <c r="P142" s="29">
        <f t="shared" si="2"/>
        <v>269003</v>
      </c>
      <c r="Q142" s="28">
        <v>0.126</v>
      </c>
    </row>
    <row r="143" spans="1:17" ht="12.75">
      <c r="A143" s="1" t="s">
        <v>95</v>
      </c>
      <c r="B143" s="8" t="s">
        <v>361</v>
      </c>
      <c r="C143" s="29">
        <v>108160</v>
      </c>
      <c r="D143" s="22">
        <v>9066</v>
      </c>
      <c r="E143" s="22">
        <v>6628</v>
      </c>
      <c r="F143" s="22">
        <v>11334</v>
      </c>
      <c r="G143" s="22">
        <v>15142</v>
      </c>
      <c r="H143" s="22">
        <v>16300</v>
      </c>
      <c r="I143" s="22">
        <v>18370</v>
      </c>
      <c r="J143" s="22">
        <v>21182</v>
      </c>
      <c r="K143" s="22">
        <v>25007</v>
      </c>
      <c r="L143" s="22">
        <v>19583</v>
      </c>
      <c r="M143" s="22">
        <v>16503</v>
      </c>
      <c r="N143" s="22">
        <v>5508</v>
      </c>
      <c r="O143" s="22">
        <v>6772</v>
      </c>
      <c r="P143" s="29">
        <f t="shared" si="2"/>
        <v>171395</v>
      </c>
      <c r="Q143" s="28">
        <v>0.585</v>
      </c>
    </row>
    <row r="144" spans="1:17" ht="12.75">
      <c r="A144" s="1" t="s">
        <v>95</v>
      </c>
      <c r="B144" s="8" t="s">
        <v>111</v>
      </c>
      <c r="C144" s="29">
        <v>456911</v>
      </c>
      <c r="D144" s="22">
        <v>24306</v>
      </c>
      <c r="E144" s="22">
        <v>23055</v>
      </c>
      <c r="F144" s="22">
        <v>33506</v>
      </c>
      <c r="G144" s="22">
        <v>51842</v>
      </c>
      <c r="H144" s="22">
        <v>55637</v>
      </c>
      <c r="I144" s="22">
        <v>52561</v>
      </c>
      <c r="J144" s="22">
        <v>62487</v>
      </c>
      <c r="K144" s="22">
        <v>65333</v>
      </c>
      <c r="L144" s="22">
        <v>56591</v>
      </c>
      <c r="M144" s="22">
        <v>51984</v>
      </c>
      <c r="N144" s="22">
        <v>34273</v>
      </c>
      <c r="O144" s="22">
        <v>34646</v>
      </c>
      <c r="P144" s="29">
        <v>546618</v>
      </c>
      <c r="Q144" s="28">
        <v>0.196</v>
      </c>
    </row>
    <row r="145" spans="1:17" ht="12.75">
      <c r="A145" s="1" t="s">
        <v>95</v>
      </c>
      <c r="B145" s="8" t="s">
        <v>89</v>
      </c>
      <c r="C145" s="29">
        <v>4058957</v>
      </c>
      <c r="D145" s="22">
        <v>231846</v>
      </c>
      <c r="E145" s="22">
        <v>209396</v>
      </c>
      <c r="F145" s="22">
        <v>287385</v>
      </c>
      <c r="G145" s="22">
        <v>397188</v>
      </c>
      <c r="H145" s="22">
        <v>414519</v>
      </c>
      <c r="I145" s="22">
        <v>449717</v>
      </c>
      <c r="J145" s="22">
        <v>537332</v>
      </c>
      <c r="K145" s="22">
        <v>559280</v>
      </c>
      <c r="L145" s="22">
        <v>475779</v>
      </c>
      <c r="M145" s="22">
        <v>437770</v>
      </c>
      <c r="N145" s="22">
        <v>251871</v>
      </c>
      <c r="O145" s="22">
        <v>267181</v>
      </c>
      <c r="P145" s="29">
        <v>4519118</v>
      </c>
      <c r="Q145" s="28">
        <v>0.113</v>
      </c>
    </row>
    <row r="146" spans="1:17" ht="12.75">
      <c r="A146" s="1" t="s">
        <v>95</v>
      </c>
      <c r="B146" s="8" t="s">
        <v>107</v>
      </c>
      <c r="C146" s="29">
        <v>545141</v>
      </c>
      <c r="D146" s="22">
        <v>37080</v>
      </c>
      <c r="E146" s="22">
        <v>31036</v>
      </c>
      <c r="F146" s="22">
        <v>37925</v>
      </c>
      <c r="G146" s="22">
        <v>44727</v>
      </c>
      <c r="H146" s="22">
        <v>44826</v>
      </c>
      <c r="I146" s="22">
        <v>48676</v>
      </c>
      <c r="J146" s="22">
        <v>59177</v>
      </c>
      <c r="K146" s="22">
        <v>70329</v>
      </c>
      <c r="L146" s="22">
        <v>56537</v>
      </c>
      <c r="M146" s="22">
        <v>48394</v>
      </c>
      <c r="N146" s="22">
        <v>37875</v>
      </c>
      <c r="O146" s="22">
        <v>41858</v>
      </c>
      <c r="P146" s="29">
        <f t="shared" si="2"/>
        <v>558440</v>
      </c>
      <c r="Q146" s="28">
        <v>0.024</v>
      </c>
    </row>
    <row r="147" spans="1:17" ht="12.75">
      <c r="A147" s="1" t="s">
        <v>95</v>
      </c>
      <c r="B147" s="8" t="s">
        <v>109</v>
      </c>
      <c r="C147" s="29">
        <v>549134</v>
      </c>
      <c r="D147" s="22">
        <v>26107</v>
      </c>
      <c r="E147" s="22">
        <v>19135</v>
      </c>
      <c r="F147" s="22">
        <v>28038</v>
      </c>
      <c r="G147" s="22">
        <v>76366</v>
      </c>
      <c r="H147" s="22">
        <v>83239</v>
      </c>
      <c r="I147" s="22">
        <v>100046</v>
      </c>
      <c r="J147" s="22">
        <v>130454</v>
      </c>
      <c r="K147" s="22">
        <v>136355</v>
      </c>
      <c r="L147" s="22">
        <v>115610</v>
      </c>
      <c r="M147" s="22">
        <v>91303</v>
      </c>
      <c r="N147" s="22">
        <v>60019</v>
      </c>
      <c r="O147" s="22">
        <v>49271</v>
      </c>
      <c r="P147" s="29">
        <v>915929</v>
      </c>
      <c r="Q147" s="28">
        <v>0.668</v>
      </c>
    </row>
    <row r="148" spans="1:17" ht="12.75">
      <c r="A148" s="1" t="s">
        <v>95</v>
      </c>
      <c r="B148" s="8" t="s">
        <v>90</v>
      </c>
      <c r="C148" s="29">
        <v>4531834</v>
      </c>
      <c r="D148" s="22">
        <v>355402</v>
      </c>
      <c r="E148" s="22">
        <v>334411</v>
      </c>
      <c r="F148" s="22">
        <v>398014</v>
      </c>
      <c r="G148" s="22">
        <v>385364</v>
      </c>
      <c r="H148" s="22">
        <v>407765</v>
      </c>
      <c r="I148" s="22">
        <v>410416</v>
      </c>
      <c r="J148" s="22">
        <v>433051</v>
      </c>
      <c r="K148" s="22">
        <v>439428</v>
      </c>
      <c r="L148" s="22">
        <v>410080</v>
      </c>
      <c r="M148" s="22">
        <v>430950</v>
      </c>
      <c r="N148" s="22">
        <v>366828</v>
      </c>
      <c r="O148" s="22">
        <v>369587</v>
      </c>
      <c r="P148" s="29">
        <f t="shared" si="2"/>
        <v>4741296</v>
      </c>
      <c r="Q148" s="28">
        <v>0.046</v>
      </c>
    </row>
    <row r="149" spans="1:17" ht="12.75">
      <c r="A149" s="1" t="s">
        <v>95</v>
      </c>
      <c r="B149" s="8" t="s">
        <v>91</v>
      </c>
      <c r="C149" s="29">
        <v>36337050</v>
      </c>
      <c r="D149" s="22">
        <v>2429915</v>
      </c>
      <c r="E149" s="22">
        <v>2253510</v>
      </c>
      <c r="F149" s="22">
        <v>2834980</v>
      </c>
      <c r="G149" s="22">
        <v>3153090</v>
      </c>
      <c r="H149" s="22">
        <v>3384666</v>
      </c>
      <c r="I149" s="22">
        <v>3481694</v>
      </c>
      <c r="J149" s="22">
        <v>3879480</v>
      </c>
      <c r="K149" s="22">
        <v>3861422</v>
      </c>
      <c r="L149" s="22">
        <v>3635794</v>
      </c>
      <c r="M149" s="22">
        <v>3411144</v>
      </c>
      <c r="N149" s="22">
        <v>2672469</v>
      </c>
      <c r="O149" s="22">
        <v>2653058</v>
      </c>
      <c r="P149" s="29">
        <f t="shared" si="2"/>
        <v>37651222</v>
      </c>
      <c r="Q149" s="28">
        <v>0.036</v>
      </c>
    </row>
    <row r="150" spans="1:17" s="1" customFormat="1" ht="12.75">
      <c r="A150" s="1" t="s">
        <v>95</v>
      </c>
      <c r="B150" s="8" t="s">
        <v>108</v>
      </c>
      <c r="C150" s="29">
        <v>1681886</v>
      </c>
      <c r="D150" s="22">
        <v>103073</v>
      </c>
      <c r="E150" s="22">
        <v>95276</v>
      </c>
      <c r="F150" s="22">
        <v>87181</v>
      </c>
      <c r="G150" s="22">
        <v>119724</v>
      </c>
      <c r="H150" s="22">
        <v>130878</v>
      </c>
      <c r="I150" s="22">
        <v>141990</v>
      </c>
      <c r="J150" s="22">
        <v>162659</v>
      </c>
      <c r="K150" s="22">
        <v>169515</v>
      </c>
      <c r="L150" s="22">
        <v>146276</v>
      </c>
      <c r="M150" s="22">
        <v>134535</v>
      </c>
      <c r="N150" s="22">
        <v>83776</v>
      </c>
      <c r="O150" s="22">
        <v>94552</v>
      </c>
      <c r="P150" s="29">
        <v>1469753</v>
      </c>
      <c r="Q150" s="28">
        <v>-0.126</v>
      </c>
    </row>
    <row r="151" spans="1:17" ht="12.75">
      <c r="A151" s="1" t="s">
        <v>95</v>
      </c>
      <c r="B151" s="8" t="s">
        <v>100</v>
      </c>
      <c r="C151" s="29">
        <v>2145582</v>
      </c>
      <c r="D151" s="22">
        <v>156611</v>
      </c>
      <c r="E151" s="22">
        <v>159372</v>
      </c>
      <c r="F151" s="22">
        <v>203511</v>
      </c>
      <c r="G151" s="22">
        <v>209661</v>
      </c>
      <c r="H151" s="22">
        <v>208782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22">
        <v>136695</v>
      </c>
      <c r="P151" s="29">
        <f t="shared" si="2"/>
        <v>1074632</v>
      </c>
      <c r="Q151" s="28">
        <v>-0.499</v>
      </c>
    </row>
    <row r="152" spans="1:17" ht="12.75">
      <c r="A152" s="1" t="s">
        <v>95</v>
      </c>
      <c r="B152" s="8" t="s">
        <v>105</v>
      </c>
      <c r="C152" s="29">
        <v>723279</v>
      </c>
      <c r="D152" s="22">
        <v>50114</v>
      </c>
      <c r="E152" s="22">
        <v>53131</v>
      </c>
      <c r="F152" s="22">
        <v>67408</v>
      </c>
      <c r="G152" s="22">
        <v>74568</v>
      </c>
      <c r="H152" s="22">
        <v>78122</v>
      </c>
      <c r="I152" s="22">
        <v>81235</v>
      </c>
      <c r="J152" s="22">
        <v>94269</v>
      </c>
      <c r="K152" s="22">
        <v>81539</v>
      </c>
      <c r="L152" s="22">
        <v>88444</v>
      </c>
      <c r="M152" s="22">
        <v>78339</v>
      </c>
      <c r="N152" s="22">
        <v>56726</v>
      </c>
      <c r="O152" s="22">
        <v>51906</v>
      </c>
      <c r="P152" s="29">
        <v>855763</v>
      </c>
      <c r="Q152" s="28">
        <v>0.183</v>
      </c>
    </row>
    <row r="153" spans="1:17" ht="12.75">
      <c r="A153" s="1" t="s">
        <v>95</v>
      </c>
      <c r="B153" s="8" t="s">
        <v>92</v>
      </c>
      <c r="C153" s="29">
        <v>3552519</v>
      </c>
      <c r="D153" s="22">
        <v>300176</v>
      </c>
      <c r="E153" s="22">
        <v>278445</v>
      </c>
      <c r="F153" s="22">
        <v>312173</v>
      </c>
      <c r="G153" s="22">
        <v>300931</v>
      </c>
      <c r="H153" s="22">
        <v>316683</v>
      </c>
      <c r="I153" s="22">
        <v>332744</v>
      </c>
      <c r="J153" s="22">
        <v>311485</v>
      </c>
      <c r="K153" s="22">
        <v>317944</v>
      </c>
      <c r="L153" s="22">
        <v>338163</v>
      </c>
      <c r="M153" s="22">
        <v>315581</v>
      </c>
      <c r="N153" s="22">
        <v>282094</v>
      </c>
      <c r="O153" s="22">
        <v>297206</v>
      </c>
      <c r="P153" s="29">
        <v>3703985</v>
      </c>
      <c r="Q153" s="28">
        <v>0.043</v>
      </c>
    </row>
    <row r="154" spans="1:17" ht="12.75">
      <c r="A154" s="1" t="s">
        <v>95</v>
      </c>
      <c r="B154" s="8" t="s">
        <v>93</v>
      </c>
      <c r="C154" s="29">
        <v>6854595</v>
      </c>
      <c r="D154" s="22">
        <v>435198</v>
      </c>
      <c r="E154" s="22">
        <v>405540</v>
      </c>
      <c r="F154" s="22">
        <v>522651</v>
      </c>
      <c r="G154" s="22">
        <v>597457</v>
      </c>
      <c r="H154" s="22">
        <v>672452</v>
      </c>
      <c r="I154" s="22">
        <v>924526</v>
      </c>
      <c r="J154" s="22">
        <v>1026502</v>
      </c>
      <c r="K154" s="22">
        <v>1015240</v>
      </c>
      <c r="L154" s="22">
        <v>954749</v>
      </c>
      <c r="M154" s="22">
        <v>891556</v>
      </c>
      <c r="N154" s="22">
        <v>638280</v>
      </c>
      <c r="O154" s="22">
        <v>479123</v>
      </c>
      <c r="P154" s="29">
        <f t="shared" si="2"/>
        <v>8563274</v>
      </c>
      <c r="Q154" s="28">
        <v>0.249</v>
      </c>
    </row>
    <row r="155" spans="1:17" ht="12.75">
      <c r="A155" s="1" t="s">
        <v>95</v>
      </c>
      <c r="B155" s="8" t="s">
        <v>94</v>
      </c>
      <c r="C155" s="29">
        <v>3016669</v>
      </c>
      <c r="D155" s="22">
        <v>233419</v>
      </c>
      <c r="E155" s="22">
        <v>185339</v>
      </c>
      <c r="F155" s="22">
        <v>222737</v>
      </c>
      <c r="G155" s="22">
        <v>222223</v>
      </c>
      <c r="H155" s="22">
        <v>273976</v>
      </c>
      <c r="I155" s="22">
        <v>362780</v>
      </c>
      <c r="J155" s="22">
        <v>438770</v>
      </c>
      <c r="K155" s="22">
        <v>454590</v>
      </c>
      <c r="L155" s="22">
        <v>368312</v>
      </c>
      <c r="M155" s="22">
        <v>243279</v>
      </c>
      <c r="N155" s="22">
        <v>183337</v>
      </c>
      <c r="O155" s="22">
        <v>190952</v>
      </c>
      <c r="P155" s="29">
        <v>3378978</v>
      </c>
      <c r="Q155" s="28">
        <v>0.12</v>
      </c>
    </row>
    <row r="156" spans="1:17" ht="12.75">
      <c r="A156" s="1" t="s">
        <v>351</v>
      </c>
      <c r="B156" s="6" t="s">
        <v>348</v>
      </c>
      <c r="C156" s="29">
        <v>1305533</v>
      </c>
      <c r="D156" s="22">
        <v>107749</v>
      </c>
      <c r="E156" s="22">
        <v>81837</v>
      </c>
      <c r="F156" s="22">
        <v>90585</v>
      </c>
      <c r="G156" s="22">
        <v>112116</v>
      </c>
      <c r="H156" s="22">
        <v>103870</v>
      </c>
      <c r="I156" s="22">
        <v>120058</v>
      </c>
      <c r="J156" s="22">
        <v>185811</v>
      </c>
      <c r="K156" s="22">
        <v>172810</v>
      </c>
      <c r="L156" s="22">
        <v>122949</v>
      </c>
      <c r="M156" s="22">
        <v>115071</v>
      </c>
      <c r="N156" s="22"/>
      <c r="O156" s="22">
        <v>113157</v>
      </c>
      <c r="P156" s="29">
        <v>1424173</v>
      </c>
      <c r="Q156" s="28">
        <v>0.089</v>
      </c>
    </row>
    <row r="157" spans="1:17" ht="12.75">
      <c r="A157" s="1" t="s">
        <v>227</v>
      </c>
      <c r="B157" s="6" t="s">
        <v>226</v>
      </c>
      <c r="C157" s="29">
        <v>4663472</v>
      </c>
      <c r="D157" s="22">
        <v>301298</v>
      </c>
      <c r="E157" s="22">
        <v>278663</v>
      </c>
      <c r="F157" s="22">
        <v>359669</v>
      </c>
      <c r="G157" s="22">
        <v>434755</v>
      </c>
      <c r="H157" s="22">
        <v>478423</v>
      </c>
      <c r="I157" s="22">
        <v>532101</v>
      </c>
      <c r="J157" s="22">
        <v>568271</v>
      </c>
      <c r="K157" s="22">
        <v>548797</v>
      </c>
      <c r="L157" s="22">
        <v>481562</v>
      </c>
      <c r="M157" s="22">
        <v>450599</v>
      </c>
      <c r="N157" s="22">
        <v>335491</v>
      </c>
      <c r="O157" s="22">
        <v>337297</v>
      </c>
      <c r="P157" s="29">
        <f t="shared" si="2"/>
        <v>5106926</v>
      </c>
      <c r="Q157" s="28">
        <f>P157/C157-1</f>
        <v>0.0950909536928708</v>
      </c>
    </row>
    <row r="158" spans="1:17" ht="12.75">
      <c r="A158" s="1" t="s">
        <v>254</v>
      </c>
      <c r="B158" s="6" t="s">
        <v>255</v>
      </c>
      <c r="C158" s="29">
        <v>809752</v>
      </c>
      <c r="D158" s="22">
        <v>74008</v>
      </c>
      <c r="E158" s="22">
        <v>68286</v>
      </c>
      <c r="F158" s="22">
        <v>77614</v>
      </c>
      <c r="G158" s="22">
        <v>75910</v>
      </c>
      <c r="H158" s="22">
        <v>69933</v>
      </c>
      <c r="I158" s="22">
        <v>73377</v>
      </c>
      <c r="J158" s="22">
        <v>80304</v>
      </c>
      <c r="K158" s="22">
        <v>76775</v>
      </c>
      <c r="L158" s="22">
        <v>68995</v>
      </c>
      <c r="M158" s="22">
        <v>71820</v>
      </c>
      <c r="N158" s="22">
        <v>63339</v>
      </c>
      <c r="O158" s="22">
        <v>72257</v>
      </c>
      <c r="P158" s="29">
        <f t="shared" si="2"/>
        <v>872618</v>
      </c>
      <c r="Q158" s="28">
        <f>P158/C158-1</f>
        <v>0.07763611574901952</v>
      </c>
    </row>
    <row r="159" spans="1:17" ht="12.75">
      <c r="A159" s="1" t="s">
        <v>254</v>
      </c>
      <c r="B159" s="6" t="s">
        <v>282</v>
      </c>
      <c r="C159" s="29">
        <v>1373859</v>
      </c>
      <c r="D159" s="27">
        <v>77820</v>
      </c>
      <c r="E159" s="27">
        <v>70991</v>
      </c>
      <c r="F159" s="27">
        <v>90748</v>
      </c>
      <c r="G159" s="27">
        <v>114174</v>
      </c>
      <c r="H159" s="27">
        <v>175482</v>
      </c>
      <c r="I159" s="27">
        <v>186072</v>
      </c>
      <c r="J159" s="27">
        <v>185886</v>
      </c>
      <c r="K159" s="27">
        <v>190125</v>
      </c>
      <c r="L159" s="27">
        <v>179539</v>
      </c>
      <c r="M159" s="22">
        <v>168233</v>
      </c>
      <c r="N159" s="22">
        <v>138363</v>
      </c>
      <c r="O159" s="22">
        <v>135034</v>
      </c>
      <c r="P159" s="29">
        <f t="shared" si="2"/>
        <v>1712467</v>
      </c>
      <c r="Q159" s="28">
        <f>P159/C159-1</f>
        <v>0.24646488467884997</v>
      </c>
    </row>
    <row r="160" spans="1:17" ht="12.75">
      <c r="A160" s="1" t="s">
        <v>236</v>
      </c>
      <c r="B160" s="6" t="s">
        <v>236</v>
      </c>
      <c r="C160" s="29">
        <v>1630027</v>
      </c>
      <c r="D160" s="22">
        <v>103447</v>
      </c>
      <c r="E160" s="22">
        <v>98555</v>
      </c>
      <c r="F160" s="22">
        <v>124561</v>
      </c>
      <c r="G160" s="22">
        <v>154201</v>
      </c>
      <c r="H160" s="22">
        <v>166758</v>
      </c>
      <c r="I160" s="22">
        <v>164129</v>
      </c>
      <c r="J160" s="22">
        <v>193375</v>
      </c>
      <c r="K160" s="22">
        <v>196028</v>
      </c>
      <c r="L160" s="22">
        <v>178229</v>
      </c>
      <c r="M160" s="22">
        <v>162611</v>
      </c>
      <c r="N160" s="22">
        <v>126325</v>
      </c>
      <c r="O160" s="22">
        <v>123012</v>
      </c>
      <c r="P160" s="29">
        <f t="shared" si="2"/>
        <v>1791231</v>
      </c>
      <c r="Q160" s="28">
        <f>P160/C160-1</f>
        <v>0.09889652134596538</v>
      </c>
    </row>
    <row r="161" spans="1:17" ht="12.75">
      <c r="A161" s="1" t="s">
        <v>326</v>
      </c>
      <c r="B161" s="6" t="s">
        <v>395</v>
      </c>
      <c r="C161" s="29">
        <f>P161/(1+Q161)</f>
        <v>685130.0448430494</v>
      </c>
      <c r="D161" s="22">
        <v>45075</v>
      </c>
      <c r="E161" s="22">
        <v>38401</v>
      </c>
      <c r="F161" s="22">
        <v>44329</v>
      </c>
      <c r="G161" s="22">
        <v>55190</v>
      </c>
      <c r="H161" s="22">
        <v>59612</v>
      </c>
      <c r="I161" s="22">
        <v>68814</v>
      </c>
      <c r="J161" s="22">
        <v>97625</v>
      </c>
      <c r="K161" s="22">
        <v>90398</v>
      </c>
      <c r="L161" s="22">
        <v>75684</v>
      </c>
      <c r="M161" s="22">
        <v>70883</v>
      </c>
      <c r="N161" s="22">
        <v>56216</v>
      </c>
      <c r="O161" s="22">
        <v>61693</v>
      </c>
      <c r="P161" s="29">
        <v>763920</v>
      </c>
      <c r="Q161" s="28">
        <v>0.115</v>
      </c>
    </row>
    <row r="162" spans="1:17" ht="12.75">
      <c r="A162" s="1" t="s">
        <v>223</v>
      </c>
      <c r="B162" s="6" t="s">
        <v>223</v>
      </c>
      <c r="C162" s="29">
        <v>3293524</v>
      </c>
      <c r="D162" s="22">
        <v>169673</v>
      </c>
      <c r="E162" s="22">
        <v>174877</v>
      </c>
      <c r="F162" s="22">
        <v>240360</v>
      </c>
      <c r="G162" s="22">
        <v>300123</v>
      </c>
      <c r="H162" s="22">
        <v>325053</v>
      </c>
      <c r="I162" s="22">
        <v>345885</v>
      </c>
      <c r="J162" s="22">
        <v>415780</v>
      </c>
      <c r="K162" s="22">
        <v>427575</v>
      </c>
      <c r="L162" s="22">
        <v>382389</v>
      </c>
      <c r="M162" s="22">
        <v>346480</v>
      </c>
      <c r="N162" s="22">
        <v>204503</v>
      </c>
      <c r="O162" s="22">
        <v>173528</v>
      </c>
      <c r="P162" s="29">
        <f aca="true" t="shared" si="3" ref="P162:P223">SUM(D162:O162)</f>
        <v>3506226</v>
      </c>
      <c r="Q162" s="28">
        <f>P162/C162-1</f>
        <v>0.06458188857892022</v>
      </c>
    </row>
    <row r="163" spans="1:17" ht="12.75">
      <c r="A163" s="1" t="s">
        <v>337</v>
      </c>
      <c r="B163" s="6" t="s">
        <v>349</v>
      </c>
      <c r="C163" s="29">
        <v>937037</v>
      </c>
      <c r="D163" s="22">
        <v>66894</v>
      </c>
      <c r="E163" s="22">
        <v>48896</v>
      </c>
      <c r="F163" s="22">
        <v>55778</v>
      </c>
      <c r="G163" s="22">
        <v>70686</v>
      </c>
      <c r="H163" s="22">
        <v>95331</v>
      </c>
      <c r="I163" s="22"/>
      <c r="J163" s="22">
        <v>121890</v>
      </c>
      <c r="K163" s="22">
        <v>131653</v>
      </c>
      <c r="L163" s="22">
        <v>115171</v>
      </c>
      <c r="M163" s="22">
        <v>89671</v>
      </c>
      <c r="N163" s="22">
        <v>71289</v>
      </c>
      <c r="O163" s="22">
        <v>69478</v>
      </c>
      <c r="P163" s="29">
        <f t="shared" si="3"/>
        <v>936737</v>
      </c>
      <c r="Q163" s="28"/>
    </row>
    <row r="164" spans="1:17" ht="12.75">
      <c r="A164" s="1" t="s">
        <v>339</v>
      </c>
      <c r="B164" s="6" t="s">
        <v>362</v>
      </c>
      <c r="C164" s="29">
        <f>P164/(1+Q164)</f>
        <v>651385.5165069222</v>
      </c>
      <c r="D164" s="38">
        <v>41613</v>
      </c>
      <c r="E164" s="38">
        <v>32342</v>
      </c>
      <c r="F164" s="38">
        <v>36480</v>
      </c>
      <c r="G164" s="38">
        <v>44197</v>
      </c>
      <c r="H164" s="22">
        <v>47680</v>
      </c>
      <c r="I164" s="22">
        <v>63070</v>
      </c>
      <c r="J164" s="22">
        <v>76426</v>
      </c>
      <c r="K164" s="22">
        <v>75513</v>
      </c>
      <c r="L164" s="22">
        <v>63695</v>
      </c>
      <c r="M164" s="22">
        <v>51234</v>
      </c>
      <c r="N164" s="22">
        <v>40022</v>
      </c>
      <c r="O164" s="22">
        <v>39379</v>
      </c>
      <c r="P164" s="29">
        <v>611651</v>
      </c>
      <c r="Q164" s="28">
        <v>-0.061</v>
      </c>
    </row>
    <row r="165" spans="1:17" ht="12.75">
      <c r="A165" s="1" t="s">
        <v>339</v>
      </c>
      <c r="B165" s="6" t="s">
        <v>363</v>
      </c>
      <c r="C165" s="29">
        <f>P165/(1+Q165)</f>
        <v>542030.1507537689</v>
      </c>
      <c r="D165" s="38">
        <v>11388</v>
      </c>
      <c r="E165" s="38">
        <v>9832</v>
      </c>
      <c r="F165" s="38">
        <v>13034</v>
      </c>
      <c r="G165" s="38">
        <v>23645</v>
      </c>
      <c r="H165" s="22">
        <v>42628</v>
      </c>
      <c r="I165" s="22">
        <v>94374</v>
      </c>
      <c r="J165" s="22">
        <v>147630</v>
      </c>
      <c r="K165" s="22">
        <v>151349</v>
      </c>
      <c r="L165" s="22">
        <v>98882</v>
      </c>
      <c r="M165" s="22">
        <v>27574</v>
      </c>
      <c r="N165" s="22">
        <v>13890</v>
      </c>
      <c r="O165" s="22">
        <v>12958</v>
      </c>
      <c r="P165" s="29">
        <v>647184</v>
      </c>
      <c r="Q165" s="28">
        <v>0.194</v>
      </c>
    </row>
    <row r="166" spans="1:21" ht="12.75">
      <c r="A166" s="1" t="s">
        <v>263</v>
      </c>
      <c r="B166" s="6" t="s">
        <v>266</v>
      </c>
      <c r="C166" s="29">
        <v>1624194</v>
      </c>
      <c r="D166" s="22">
        <v>124053</v>
      </c>
      <c r="E166" s="22">
        <v>126543</v>
      </c>
      <c r="F166" s="22">
        <v>138751</v>
      </c>
      <c r="G166" s="22">
        <v>143771</v>
      </c>
      <c r="H166" s="22">
        <v>120087</v>
      </c>
      <c r="I166" s="22">
        <v>121065</v>
      </c>
      <c r="J166" s="22">
        <v>142607</v>
      </c>
      <c r="K166" s="22">
        <v>134148</v>
      </c>
      <c r="L166" s="22">
        <f>1317494-1191945</f>
        <v>125549</v>
      </c>
      <c r="M166" s="22">
        <v>140920</v>
      </c>
      <c r="N166" s="22">
        <v>106012</v>
      </c>
      <c r="O166" s="22">
        <v>92741</v>
      </c>
      <c r="P166" s="29">
        <f t="shared" si="3"/>
        <v>1516247</v>
      </c>
      <c r="Q166" s="28">
        <v>-0.065</v>
      </c>
      <c r="S166" s="22"/>
      <c r="T166" s="40"/>
      <c r="U166" s="41"/>
    </row>
    <row r="167" spans="1:21" ht="12.75">
      <c r="A167" s="1" t="s">
        <v>263</v>
      </c>
      <c r="B167" s="6" t="s">
        <v>66</v>
      </c>
      <c r="C167" s="29">
        <v>15411749</v>
      </c>
      <c r="D167" s="22">
        <v>1218445</v>
      </c>
      <c r="E167" s="22">
        <v>1107231</v>
      </c>
      <c r="F167" s="22">
        <v>1265379</v>
      </c>
      <c r="G167" s="22">
        <v>1418888</v>
      </c>
      <c r="H167" s="22">
        <v>1247546</v>
      </c>
      <c r="I167" s="22">
        <v>1289808</v>
      </c>
      <c r="J167" s="22">
        <v>1697367</v>
      </c>
      <c r="K167" s="22">
        <v>1414700</v>
      </c>
      <c r="L167" s="22">
        <f>13330391-12036878</f>
        <v>1293513</v>
      </c>
      <c r="M167" s="22">
        <v>1377514</v>
      </c>
      <c r="N167" s="22">
        <v>1169888</v>
      </c>
      <c r="O167" s="22">
        <v>1169639</v>
      </c>
      <c r="P167" s="29">
        <f t="shared" si="3"/>
        <v>15669918</v>
      </c>
      <c r="Q167" s="28">
        <v>0.02</v>
      </c>
      <c r="S167" s="22"/>
      <c r="T167" s="40"/>
      <c r="U167" s="41"/>
    </row>
    <row r="168" spans="1:21" ht="12.75">
      <c r="A168" s="1" t="s">
        <v>263</v>
      </c>
      <c r="B168" s="6" t="s">
        <v>264</v>
      </c>
      <c r="C168" s="29">
        <v>7244158</v>
      </c>
      <c r="D168" s="22">
        <v>573911</v>
      </c>
      <c r="E168" s="22">
        <v>497653</v>
      </c>
      <c r="F168" s="22">
        <v>565247</v>
      </c>
      <c r="G168" s="22">
        <v>615135</v>
      </c>
      <c r="H168" s="22">
        <v>552229</v>
      </c>
      <c r="I168" s="22">
        <v>597441</v>
      </c>
      <c r="J168" s="22">
        <v>824005</v>
      </c>
      <c r="K168" s="22">
        <v>648717</v>
      </c>
      <c r="L168" s="22">
        <f>6139684-5485401</f>
        <v>654283</v>
      </c>
      <c r="M168" s="22">
        <v>611063</v>
      </c>
      <c r="N168" s="22">
        <v>565725</v>
      </c>
      <c r="O168" s="22">
        <v>584905</v>
      </c>
      <c r="P168" s="29">
        <f t="shared" si="3"/>
        <v>7290314</v>
      </c>
      <c r="Q168" s="28">
        <v>0.007</v>
      </c>
      <c r="S168" s="22"/>
      <c r="T168" s="40"/>
      <c r="U168" s="41"/>
    </row>
    <row r="169" spans="1:21" ht="12.75">
      <c r="A169" s="1" t="s">
        <v>263</v>
      </c>
      <c r="B169" s="6" t="s">
        <v>267</v>
      </c>
      <c r="C169" s="29">
        <v>740217</v>
      </c>
      <c r="D169" s="22">
        <v>65743</v>
      </c>
      <c r="E169" s="22">
        <v>60068</v>
      </c>
      <c r="F169" s="22">
        <v>66766</v>
      </c>
      <c r="G169" s="22">
        <v>72821</v>
      </c>
      <c r="H169" s="22">
        <v>67451</v>
      </c>
      <c r="I169" s="22">
        <v>66649</v>
      </c>
      <c r="J169" s="22">
        <v>79728</v>
      </c>
      <c r="K169" s="22">
        <v>73292</v>
      </c>
      <c r="L169" s="22">
        <f>692826-626839</f>
        <v>65987</v>
      </c>
      <c r="M169" s="22">
        <v>74321</v>
      </c>
      <c r="N169" s="22">
        <v>49450</v>
      </c>
      <c r="O169" s="22">
        <v>50335</v>
      </c>
      <c r="P169" s="29">
        <f t="shared" si="3"/>
        <v>792611</v>
      </c>
      <c r="Q169" s="28">
        <v>0.074</v>
      </c>
      <c r="S169" s="22"/>
      <c r="T169" s="40"/>
      <c r="U169" s="41"/>
    </row>
    <row r="170" spans="1:21" ht="12.75">
      <c r="A170" s="1" t="s">
        <v>263</v>
      </c>
      <c r="B170" s="6" t="s">
        <v>265</v>
      </c>
      <c r="C170" s="29">
        <v>3438397</v>
      </c>
      <c r="D170" s="22">
        <v>275990</v>
      </c>
      <c r="E170" s="22">
        <v>269149</v>
      </c>
      <c r="F170" s="22">
        <v>303343</v>
      </c>
      <c r="G170" s="22">
        <v>360130</v>
      </c>
      <c r="H170" s="22">
        <v>282658</v>
      </c>
      <c r="I170" s="22">
        <v>257729</v>
      </c>
      <c r="J170" s="22">
        <v>283558</v>
      </c>
      <c r="K170" s="22">
        <v>273529</v>
      </c>
      <c r="L170" s="22">
        <f>2906722-2639815</f>
        <v>266907</v>
      </c>
      <c r="M170" s="22">
        <v>333729</v>
      </c>
      <c r="N170" s="22">
        <v>263797</v>
      </c>
      <c r="O170" s="22">
        <v>259655</v>
      </c>
      <c r="P170" s="29">
        <f t="shared" si="3"/>
        <v>3430174</v>
      </c>
      <c r="Q170" s="28">
        <v>0.001</v>
      </c>
      <c r="S170" s="22"/>
      <c r="T170" s="40"/>
      <c r="U170" s="41"/>
    </row>
    <row r="171" spans="1:21" ht="12.75">
      <c r="A171" s="1" t="s">
        <v>263</v>
      </c>
      <c r="B171" s="6" t="s">
        <v>330</v>
      </c>
      <c r="C171" s="29">
        <v>442261</v>
      </c>
      <c r="D171" s="22">
        <v>34871</v>
      </c>
      <c r="E171" s="22">
        <v>29362</v>
      </c>
      <c r="F171" s="22">
        <v>33925</v>
      </c>
      <c r="G171" s="22">
        <v>44429</v>
      </c>
      <c r="H171" s="22">
        <v>45862</v>
      </c>
      <c r="I171" s="22">
        <v>52723</v>
      </c>
      <c r="J171" s="22">
        <v>81046</v>
      </c>
      <c r="K171" s="22">
        <v>73292</v>
      </c>
      <c r="L171" s="22">
        <f>489237-444299</f>
        <v>44938</v>
      </c>
      <c r="M171" s="22">
        <v>48789</v>
      </c>
      <c r="N171" s="22">
        <v>41011</v>
      </c>
      <c r="O171" s="22">
        <v>42140</v>
      </c>
      <c r="P171" s="29">
        <f t="shared" si="3"/>
        <v>572388</v>
      </c>
      <c r="Q171" s="28">
        <v>0.295</v>
      </c>
      <c r="S171" s="22"/>
      <c r="T171" s="40"/>
      <c r="U171" s="41"/>
    </row>
    <row r="172" spans="1:21" ht="12.75">
      <c r="A172" s="1" t="s">
        <v>263</v>
      </c>
      <c r="B172" s="6" t="s">
        <v>269</v>
      </c>
      <c r="C172" s="29">
        <v>460412</v>
      </c>
      <c r="D172" s="22">
        <v>30259</v>
      </c>
      <c r="E172" s="22">
        <v>29571</v>
      </c>
      <c r="F172" s="22">
        <v>35471</v>
      </c>
      <c r="G172" s="22">
        <v>39528</v>
      </c>
      <c r="H172" s="22">
        <v>39116</v>
      </c>
      <c r="I172" s="22">
        <v>53060</v>
      </c>
      <c r="J172" s="22">
        <v>86176</v>
      </c>
      <c r="K172" s="22">
        <v>60603</v>
      </c>
      <c r="L172" s="22">
        <f>454870-407624</f>
        <v>47246</v>
      </c>
      <c r="M172" s="22">
        <v>33840</v>
      </c>
      <c r="N172" s="22">
        <v>27752</v>
      </c>
      <c r="O172" s="22">
        <v>26566</v>
      </c>
      <c r="P172" s="29">
        <f t="shared" si="3"/>
        <v>509188</v>
      </c>
      <c r="Q172" s="28">
        <v>0.107</v>
      </c>
      <c r="S172" s="22"/>
      <c r="T172" s="40"/>
      <c r="U172" s="41"/>
    </row>
    <row r="173" spans="1:21" ht="12.75">
      <c r="A173" s="1" t="s">
        <v>263</v>
      </c>
      <c r="B173" s="6" t="s">
        <v>270</v>
      </c>
      <c r="C173" s="29">
        <v>361915</v>
      </c>
      <c r="D173" s="22">
        <v>27859</v>
      </c>
      <c r="E173" s="22">
        <v>24614</v>
      </c>
      <c r="F173" s="22">
        <v>25892</v>
      </c>
      <c r="G173" s="22">
        <v>29576</v>
      </c>
      <c r="H173" s="22">
        <v>30504</v>
      </c>
      <c r="I173" s="22">
        <v>31302</v>
      </c>
      <c r="J173" s="22">
        <v>43486</v>
      </c>
      <c r="K173" s="22">
        <v>32856</v>
      </c>
      <c r="L173" s="22">
        <f>310384-281373</f>
        <v>29011</v>
      </c>
      <c r="M173" s="22">
        <v>35284</v>
      </c>
      <c r="N173" s="22">
        <v>32248</v>
      </c>
      <c r="O173" s="22">
        <v>29513</v>
      </c>
      <c r="P173" s="29">
        <f t="shared" si="3"/>
        <v>372145</v>
      </c>
      <c r="Q173" s="28">
        <v>0.04</v>
      </c>
      <c r="S173" s="22"/>
      <c r="T173" s="40"/>
      <c r="U173" s="41"/>
    </row>
    <row r="174" spans="1:21" ht="12.75">
      <c r="A174" s="1" t="s">
        <v>263</v>
      </c>
      <c r="B174" s="6" t="s">
        <v>268</v>
      </c>
      <c r="C174" s="29">
        <v>762247</v>
      </c>
      <c r="D174" s="22">
        <v>55266</v>
      </c>
      <c r="E174" s="22">
        <v>47673</v>
      </c>
      <c r="F174" s="22">
        <v>57683</v>
      </c>
      <c r="G174" s="22">
        <v>71945</v>
      </c>
      <c r="H174" s="22">
        <v>67657</v>
      </c>
      <c r="I174" s="22">
        <v>76039</v>
      </c>
      <c r="J174" s="22">
        <v>112007</v>
      </c>
      <c r="K174" s="22">
        <v>93165</v>
      </c>
      <c r="L174" s="22">
        <f>729269-651313</f>
        <v>77956</v>
      </c>
      <c r="M174" s="22">
        <v>69878</v>
      </c>
      <c r="N174" s="22">
        <v>59564</v>
      </c>
      <c r="O174" s="22">
        <v>61049</v>
      </c>
      <c r="P174" s="29">
        <f t="shared" si="3"/>
        <v>849882</v>
      </c>
      <c r="Q174" s="28">
        <v>0.121</v>
      </c>
      <c r="S174" s="22"/>
      <c r="T174" s="40"/>
      <c r="U174" s="41"/>
    </row>
    <row r="175" spans="1:17" ht="12.75">
      <c r="A175" s="1" t="s">
        <v>150</v>
      </c>
      <c r="B175" s="6" t="s">
        <v>151</v>
      </c>
      <c r="C175" s="29">
        <v>45211749</v>
      </c>
      <c r="D175" s="22">
        <v>3263776</v>
      </c>
      <c r="E175" s="22">
        <v>3050512</v>
      </c>
      <c r="F175" s="22">
        <v>3662372</v>
      </c>
      <c r="G175" s="22">
        <v>4132417</v>
      </c>
      <c r="H175" s="22">
        <v>4480618</v>
      </c>
      <c r="I175" s="22">
        <v>4519980</v>
      </c>
      <c r="J175" s="22">
        <v>5156990</v>
      </c>
      <c r="K175" s="22">
        <v>5064229</v>
      </c>
      <c r="L175" s="22">
        <v>4687182</v>
      </c>
      <c r="M175" s="22">
        <v>4609355</v>
      </c>
      <c r="N175" s="22">
        <v>3588218</v>
      </c>
      <c r="O175" s="22">
        <v>3540966</v>
      </c>
      <c r="P175" s="29">
        <v>49755252</v>
      </c>
      <c r="Q175" s="28">
        <f>P175/C175-1</f>
        <v>0.10049385614345518</v>
      </c>
    </row>
    <row r="176" spans="1:17" ht="12.75">
      <c r="A176" s="1" t="s">
        <v>150</v>
      </c>
      <c r="B176" s="6" t="s">
        <v>279</v>
      </c>
      <c r="C176" s="29">
        <v>2142833</v>
      </c>
      <c r="D176" s="22">
        <v>142553</v>
      </c>
      <c r="E176" s="22">
        <v>133382</v>
      </c>
      <c r="F176" s="22">
        <v>167362</v>
      </c>
      <c r="G176" s="22">
        <v>227561</v>
      </c>
      <c r="H176" s="22">
        <v>273357</v>
      </c>
      <c r="I176" s="22">
        <v>254121</v>
      </c>
      <c r="J176" s="22">
        <v>290339</v>
      </c>
      <c r="K176" s="22">
        <v>293771</v>
      </c>
      <c r="L176" s="22">
        <v>267950</v>
      </c>
      <c r="M176" s="22">
        <v>261720</v>
      </c>
      <c r="N176" s="22">
        <v>161498</v>
      </c>
      <c r="O176" s="22">
        <v>169869</v>
      </c>
      <c r="P176" s="29">
        <f t="shared" si="3"/>
        <v>2643483</v>
      </c>
      <c r="Q176" s="28">
        <v>0.234</v>
      </c>
    </row>
    <row r="177" spans="1:17" ht="12.75">
      <c r="A177" s="1" t="s">
        <v>150</v>
      </c>
      <c r="B177" s="6" t="s">
        <v>280</v>
      </c>
      <c r="C177" s="29">
        <v>257307</v>
      </c>
      <c r="D177" s="22">
        <v>8907</v>
      </c>
      <c r="E177" s="22">
        <v>9392</v>
      </c>
      <c r="F177" s="22">
        <v>19140</v>
      </c>
      <c r="G177" s="22">
        <v>37252</v>
      </c>
      <c r="H177" s="22">
        <v>43935</v>
      </c>
      <c r="I177" s="22">
        <v>43625</v>
      </c>
      <c r="J177" s="22">
        <v>47474</v>
      </c>
      <c r="K177" s="22">
        <v>51367</v>
      </c>
      <c r="L177" s="22">
        <v>45196</v>
      </c>
      <c r="M177" s="22">
        <v>41571</v>
      </c>
      <c r="N177" s="22">
        <v>7977</v>
      </c>
      <c r="O177" s="22">
        <v>6105</v>
      </c>
      <c r="P177" s="29">
        <f t="shared" si="3"/>
        <v>361941</v>
      </c>
      <c r="Q177" s="28">
        <f>P177/C177-1</f>
        <v>0.40665042148095476</v>
      </c>
    </row>
    <row r="178" spans="1:17" ht="12.75">
      <c r="A178" s="15" t="s">
        <v>150</v>
      </c>
      <c r="B178" s="16" t="s">
        <v>253</v>
      </c>
      <c r="C178" s="29">
        <v>1000858</v>
      </c>
      <c r="D178" s="22">
        <v>57834</v>
      </c>
      <c r="E178" s="22">
        <v>62599</v>
      </c>
      <c r="F178" s="22">
        <v>76906</v>
      </c>
      <c r="G178" s="22">
        <v>74561</v>
      </c>
      <c r="H178" s="22">
        <v>124802</v>
      </c>
      <c r="I178" s="22">
        <v>125277</v>
      </c>
      <c r="J178" s="22">
        <v>137152</v>
      </c>
      <c r="K178" s="22">
        <v>134563</v>
      </c>
      <c r="L178" s="22">
        <v>129178</v>
      </c>
      <c r="M178" s="22">
        <v>114646</v>
      </c>
      <c r="N178" s="22">
        <v>56349</v>
      </c>
      <c r="O178" s="22">
        <v>64553</v>
      </c>
      <c r="P178" s="29">
        <f t="shared" si="3"/>
        <v>1158420</v>
      </c>
      <c r="Q178" s="28">
        <v>0.158</v>
      </c>
    </row>
    <row r="179" spans="1:17" ht="12.75">
      <c r="A179" s="1" t="s">
        <v>167</v>
      </c>
      <c r="B179" s="6" t="s">
        <v>202</v>
      </c>
      <c r="C179" s="29">
        <v>833534</v>
      </c>
      <c r="D179" s="22">
        <v>59198</v>
      </c>
      <c r="E179" s="22">
        <v>61595</v>
      </c>
      <c r="F179" s="22">
        <v>74903</v>
      </c>
      <c r="G179" s="22">
        <v>69958</v>
      </c>
      <c r="H179" s="22">
        <v>84859</v>
      </c>
      <c r="I179" s="22">
        <v>86253</v>
      </c>
      <c r="J179" s="22">
        <v>74065</v>
      </c>
      <c r="K179" s="22">
        <v>80197</v>
      </c>
      <c r="L179" s="22">
        <v>87751</v>
      </c>
      <c r="M179" s="22">
        <v>90202</v>
      </c>
      <c r="N179" s="22">
        <v>85585</v>
      </c>
      <c r="O179" s="22">
        <v>73845</v>
      </c>
      <c r="P179" s="29">
        <f t="shared" si="3"/>
        <v>928411</v>
      </c>
      <c r="Q179" s="28">
        <v>0.114</v>
      </c>
    </row>
    <row r="180" spans="1:17" ht="12.75">
      <c r="A180" s="1" t="s">
        <v>167</v>
      </c>
      <c r="B180" s="6" t="s">
        <v>66</v>
      </c>
      <c r="C180" s="29">
        <v>43951106</v>
      </c>
      <c r="D180" s="22">
        <v>3208800</v>
      </c>
      <c r="E180" s="22">
        <v>3291664</v>
      </c>
      <c r="F180" s="22">
        <v>3944178</v>
      </c>
      <c r="G180" s="22">
        <v>3769931</v>
      </c>
      <c r="H180" s="22">
        <v>4314895</v>
      </c>
      <c r="I180" s="22">
        <v>4585272</v>
      </c>
      <c r="J180" s="22">
        <v>4363781</v>
      </c>
      <c r="K180" s="22">
        <v>4309773</v>
      </c>
      <c r="L180" s="22">
        <v>4467853</v>
      </c>
      <c r="M180" s="22">
        <v>4507603</v>
      </c>
      <c r="N180" s="22">
        <v>3995087</v>
      </c>
      <c r="O180" s="22">
        <v>3428695</v>
      </c>
      <c r="P180" s="29">
        <v>48192971</v>
      </c>
      <c r="Q180" s="28">
        <v>0.096</v>
      </c>
    </row>
    <row r="181" spans="1:17" ht="12.75">
      <c r="A181" s="1" t="s">
        <v>167</v>
      </c>
      <c r="B181" s="6" t="s">
        <v>207</v>
      </c>
      <c r="C181" s="29">
        <v>333593</v>
      </c>
      <c r="D181" s="22">
        <v>23483</v>
      </c>
      <c r="E181" s="22">
        <v>23211</v>
      </c>
      <c r="F181" s="22">
        <v>27496</v>
      </c>
      <c r="G181" s="22">
        <v>26949</v>
      </c>
      <c r="H181" s="22">
        <v>30483</v>
      </c>
      <c r="I181" s="22">
        <v>35321</v>
      </c>
      <c r="J181" s="22">
        <v>35133</v>
      </c>
      <c r="K181" s="22">
        <v>34238</v>
      </c>
      <c r="L181" s="22">
        <v>31555</v>
      </c>
      <c r="M181" s="22">
        <v>29114</v>
      </c>
      <c r="N181" s="22">
        <v>26040</v>
      </c>
      <c r="O181" s="22">
        <v>21752</v>
      </c>
      <c r="P181" s="29">
        <f t="shared" si="3"/>
        <v>344775</v>
      </c>
      <c r="Q181" s="28">
        <v>0.034</v>
      </c>
    </row>
    <row r="182" spans="1:17" ht="12.75">
      <c r="A182" s="1" t="s">
        <v>167</v>
      </c>
      <c r="B182" s="6" t="s">
        <v>206</v>
      </c>
      <c r="C182" s="29">
        <v>190584</v>
      </c>
      <c r="D182" s="22">
        <v>13707</v>
      </c>
      <c r="E182" s="22">
        <v>13762</v>
      </c>
      <c r="F182" s="22">
        <v>16939</v>
      </c>
      <c r="G182" s="22">
        <v>16939</v>
      </c>
      <c r="H182" s="22">
        <v>15752</v>
      </c>
      <c r="I182" s="22">
        <v>17286</v>
      </c>
      <c r="J182" s="22">
        <v>20518</v>
      </c>
      <c r="K182" s="22">
        <v>17892</v>
      </c>
      <c r="L182" s="22">
        <v>16584</v>
      </c>
      <c r="M182" s="22">
        <v>16886</v>
      </c>
      <c r="N182" s="22">
        <v>14204</v>
      </c>
      <c r="O182" s="22">
        <v>13582</v>
      </c>
      <c r="P182" s="29">
        <v>194624</v>
      </c>
      <c r="Q182" s="28">
        <v>0.021</v>
      </c>
    </row>
    <row r="183" spans="1:17" ht="12.75">
      <c r="A183" s="1" t="s">
        <v>167</v>
      </c>
      <c r="B183" s="6" t="s">
        <v>192</v>
      </c>
      <c r="C183" s="29">
        <v>5078267</v>
      </c>
      <c r="D183" s="22">
        <v>375183</v>
      </c>
      <c r="E183" s="22">
        <v>373658</v>
      </c>
      <c r="F183" s="22">
        <v>460048</v>
      </c>
      <c r="G183" s="22">
        <v>426764</v>
      </c>
      <c r="H183" s="22">
        <v>518032</v>
      </c>
      <c r="I183" s="22">
        <v>531741</v>
      </c>
      <c r="J183" s="22">
        <v>492555</v>
      </c>
      <c r="K183" s="22">
        <v>497857</v>
      </c>
      <c r="L183" s="22">
        <v>510387</v>
      </c>
      <c r="M183" s="22">
        <v>529994</v>
      </c>
      <c r="N183" s="22">
        <v>486570</v>
      </c>
      <c r="O183" s="22">
        <v>404008</v>
      </c>
      <c r="P183" s="29">
        <f t="shared" si="3"/>
        <v>5606797</v>
      </c>
      <c r="Q183" s="28">
        <v>0.104</v>
      </c>
    </row>
    <row r="184" spans="1:17" ht="12.75">
      <c r="A184" s="1" t="s">
        <v>167</v>
      </c>
      <c r="B184" s="6" t="s">
        <v>198</v>
      </c>
      <c r="C184" s="29">
        <v>1611689</v>
      </c>
      <c r="D184" s="22">
        <v>112473</v>
      </c>
      <c r="E184" s="22">
        <v>118451</v>
      </c>
      <c r="F184" s="22">
        <v>144559</v>
      </c>
      <c r="G184" s="22">
        <v>133178</v>
      </c>
      <c r="H184" s="22">
        <v>156493</v>
      </c>
      <c r="I184" s="22">
        <v>167929</v>
      </c>
      <c r="J184" s="22">
        <v>155413</v>
      </c>
      <c r="K184" s="22">
        <v>155570</v>
      </c>
      <c r="L184" s="22">
        <v>159225</v>
      </c>
      <c r="M184" s="22">
        <v>158693</v>
      </c>
      <c r="N184" s="22">
        <v>149308</v>
      </c>
      <c r="O184" s="22">
        <v>125462</v>
      </c>
      <c r="P184" s="29">
        <f t="shared" si="3"/>
        <v>1736754</v>
      </c>
      <c r="Q184" s="28">
        <v>0.077</v>
      </c>
    </row>
    <row r="185" spans="1:17" ht="12.75">
      <c r="A185" s="1" t="s">
        <v>167</v>
      </c>
      <c r="B185" s="6" t="s">
        <v>205</v>
      </c>
      <c r="C185" s="29">
        <v>551106</v>
      </c>
      <c r="D185" s="22">
        <v>37047</v>
      </c>
      <c r="E185" s="22">
        <v>36081</v>
      </c>
      <c r="F185" s="22">
        <v>47868</v>
      </c>
      <c r="G185" s="22">
        <v>46137</v>
      </c>
      <c r="H185" s="22">
        <v>53949</v>
      </c>
      <c r="I185" s="22">
        <v>62946</v>
      </c>
      <c r="J185" s="22">
        <v>68790</v>
      </c>
      <c r="K185" s="22">
        <v>60972</v>
      </c>
      <c r="L185" s="22">
        <v>52251</v>
      </c>
      <c r="M185" s="22">
        <v>50742</v>
      </c>
      <c r="N185" s="22">
        <v>41209</v>
      </c>
      <c r="O185" s="22">
        <v>40025</v>
      </c>
      <c r="P185" s="29">
        <f t="shared" si="3"/>
        <v>598017</v>
      </c>
      <c r="Q185" s="28">
        <v>0.084</v>
      </c>
    </row>
    <row r="186" spans="1:17" ht="12.75">
      <c r="A186" s="1" t="s">
        <v>167</v>
      </c>
      <c r="B186" s="6" t="s">
        <v>201</v>
      </c>
      <c r="C186" s="29">
        <v>558938</v>
      </c>
      <c r="D186" s="22">
        <v>39763</v>
      </c>
      <c r="E186" s="22">
        <v>42589</v>
      </c>
      <c r="F186" s="22">
        <v>51649</v>
      </c>
      <c r="G186" s="22">
        <v>49087</v>
      </c>
      <c r="H186" s="22">
        <v>52136</v>
      </c>
      <c r="I186" s="22">
        <v>56297</v>
      </c>
      <c r="J186" s="22">
        <v>51594</v>
      </c>
      <c r="K186" s="22">
        <v>53665</v>
      </c>
      <c r="L186" s="22">
        <v>55198</v>
      </c>
      <c r="M186" s="22">
        <v>60280</v>
      </c>
      <c r="N186" s="22">
        <v>50104</v>
      </c>
      <c r="O186" s="22">
        <v>42625</v>
      </c>
      <c r="P186" s="29">
        <f t="shared" si="3"/>
        <v>604987</v>
      </c>
      <c r="Q186" s="28">
        <v>0.082</v>
      </c>
    </row>
    <row r="187" spans="1:17" ht="12.75">
      <c r="A187" s="1" t="s">
        <v>167</v>
      </c>
      <c r="B187" s="6" t="s">
        <v>208</v>
      </c>
      <c r="C187" s="29">
        <v>278307</v>
      </c>
      <c r="D187" s="22">
        <v>20263</v>
      </c>
      <c r="E187" s="22">
        <v>19751</v>
      </c>
      <c r="F187" s="22">
        <v>24514</v>
      </c>
      <c r="G187" s="22">
        <v>22472</v>
      </c>
      <c r="H187" s="22">
        <v>27190</v>
      </c>
      <c r="I187" s="22">
        <v>29937</v>
      </c>
      <c r="J187" s="22">
        <v>31608</v>
      </c>
      <c r="K187" s="22">
        <v>31588</v>
      </c>
      <c r="L187" s="22">
        <v>26840</v>
      </c>
      <c r="M187" s="22">
        <v>25742</v>
      </c>
      <c r="N187" s="22">
        <v>20619</v>
      </c>
      <c r="O187" s="22">
        <v>20007</v>
      </c>
      <c r="P187" s="29">
        <v>301190</v>
      </c>
      <c r="Q187" s="28">
        <v>0.07</v>
      </c>
    </row>
    <row r="188" spans="1:17" ht="12.75">
      <c r="A188" s="1" t="s">
        <v>167</v>
      </c>
      <c r="B188" s="6" t="s">
        <v>200</v>
      </c>
      <c r="C188" s="29">
        <v>839916</v>
      </c>
      <c r="D188" s="22">
        <v>66176</v>
      </c>
      <c r="E188" s="22">
        <v>66661</v>
      </c>
      <c r="F188" s="22">
        <v>78071</v>
      </c>
      <c r="G188" s="22">
        <v>71550</v>
      </c>
      <c r="H188" s="22">
        <v>87428</v>
      </c>
      <c r="I188" s="22">
        <v>88241</v>
      </c>
      <c r="J188" s="22">
        <v>69823</v>
      </c>
      <c r="K188" s="22">
        <v>76756</v>
      </c>
      <c r="L188" s="22">
        <v>95393</v>
      </c>
      <c r="M188" s="22">
        <v>94950</v>
      </c>
      <c r="N188" s="22">
        <v>87044</v>
      </c>
      <c r="O188" s="22">
        <v>71109</v>
      </c>
      <c r="P188" s="29">
        <f t="shared" si="3"/>
        <v>953202</v>
      </c>
      <c r="Q188" s="28">
        <v>0.135</v>
      </c>
    </row>
    <row r="189" spans="1:17" ht="12.75">
      <c r="A189" s="1" t="s">
        <v>167</v>
      </c>
      <c r="B189" s="6" t="s">
        <v>204</v>
      </c>
      <c r="C189" s="29">
        <v>347550</v>
      </c>
      <c r="D189" s="22">
        <v>24721</v>
      </c>
      <c r="E189" s="22">
        <v>26601</v>
      </c>
      <c r="F189" s="22">
        <v>30479</v>
      </c>
      <c r="G189" s="22">
        <v>30920</v>
      </c>
      <c r="H189" s="22">
        <v>33920</v>
      </c>
      <c r="I189" s="22">
        <v>32632</v>
      </c>
      <c r="J189" s="22">
        <v>28311</v>
      </c>
      <c r="K189" s="22">
        <v>30159</v>
      </c>
      <c r="L189" s="22">
        <v>31408</v>
      </c>
      <c r="M189" s="22">
        <v>31973</v>
      </c>
      <c r="N189" s="22">
        <v>32185</v>
      </c>
      <c r="O189" s="22">
        <v>29882</v>
      </c>
      <c r="P189" s="29">
        <f t="shared" si="3"/>
        <v>363191</v>
      </c>
      <c r="Q189" s="28">
        <v>0.045</v>
      </c>
    </row>
    <row r="190" spans="1:17" ht="12.75">
      <c r="A190" s="1" t="s">
        <v>167</v>
      </c>
      <c r="B190" s="6" t="s">
        <v>203</v>
      </c>
      <c r="C190" s="29">
        <v>392901</v>
      </c>
      <c r="D190" s="22">
        <v>28701</v>
      </c>
      <c r="E190" s="22">
        <v>30079</v>
      </c>
      <c r="F190" s="22">
        <v>37601</v>
      </c>
      <c r="G190" s="22">
        <v>33184</v>
      </c>
      <c r="H190" s="22">
        <v>38008</v>
      </c>
      <c r="I190" s="22">
        <v>42728</v>
      </c>
      <c r="J190" s="22">
        <v>40680</v>
      </c>
      <c r="K190" s="22">
        <v>36270</v>
      </c>
      <c r="L190" s="22">
        <v>42154</v>
      </c>
      <c r="M190" s="22">
        <v>39949</v>
      </c>
      <c r="N190" s="22">
        <v>37102</v>
      </c>
      <c r="O190" s="22">
        <v>32054</v>
      </c>
      <c r="P190" s="29">
        <f t="shared" si="3"/>
        <v>438510</v>
      </c>
      <c r="Q190" s="28">
        <v>0.116</v>
      </c>
    </row>
    <row r="191" spans="1:17" ht="12.75">
      <c r="A191" s="1" t="s">
        <v>167</v>
      </c>
      <c r="B191" s="6" t="s">
        <v>347</v>
      </c>
      <c r="C191" s="29">
        <v>1423809</v>
      </c>
      <c r="D191" s="22">
        <v>94787</v>
      </c>
      <c r="E191" s="22">
        <v>104971</v>
      </c>
      <c r="F191" s="22">
        <v>116970</v>
      </c>
      <c r="G191" s="22">
        <v>149076</v>
      </c>
      <c r="H191" s="22">
        <v>141870</v>
      </c>
      <c r="I191" s="22">
        <v>166804</v>
      </c>
      <c r="J191" s="22">
        <v>209896</v>
      </c>
      <c r="K191" s="22">
        <v>158757</v>
      </c>
      <c r="L191" s="22">
        <v>142583</v>
      </c>
      <c r="M191" s="22">
        <v>171346</v>
      </c>
      <c r="N191" s="22">
        <v>104033</v>
      </c>
      <c r="O191" s="22">
        <v>106612</v>
      </c>
      <c r="P191" s="29">
        <f t="shared" si="3"/>
        <v>1667705</v>
      </c>
      <c r="Q191" s="28">
        <v>0.171</v>
      </c>
    </row>
    <row r="192" spans="1:17" ht="12.75">
      <c r="A192" s="1" t="s">
        <v>167</v>
      </c>
      <c r="B192" s="6" t="s">
        <v>168</v>
      </c>
      <c r="C192" s="29">
        <v>19091036</v>
      </c>
      <c r="D192" s="22">
        <v>1393057</v>
      </c>
      <c r="E192" s="22">
        <v>1431169</v>
      </c>
      <c r="F192" s="22">
        <v>1721695</v>
      </c>
      <c r="G192" s="22">
        <v>1651418</v>
      </c>
      <c r="H192" s="22">
        <v>1881211</v>
      </c>
      <c r="I192" s="22">
        <v>2015771</v>
      </c>
      <c r="J192" s="22">
        <v>1971506</v>
      </c>
      <c r="K192" s="22">
        <v>1901788</v>
      </c>
      <c r="L192" s="22">
        <v>1971231</v>
      </c>
      <c r="M192" s="22">
        <v>1961021</v>
      </c>
      <c r="N192" s="22">
        <v>1721589</v>
      </c>
      <c r="O192" s="22">
        <v>1471893</v>
      </c>
      <c r="P192" s="29">
        <f t="shared" si="3"/>
        <v>21093349</v>
      </c>
      <c r="Q192" s="28">
        <v>0.105</v>
      </c>
    </row>
    <row r="193" spans="1:17" ht="12.75">
      <c r="A193" s="1" t="s">
        <v>167</v>
      </c>
      <c r="B193" s="6" t="s">
        <v>210</v>
      </c>
      <c r="C193" s="29">
        <v>1589066</v>
      </c>
      <c r="D193" s="22">
        <v>88485</v>
      </c>
      <c r="E193" s="22">
        <v>90027</v>
      </c>
      <c r="F193" s="22">
        <v>102504</v>
      </c>
      <c r="G193" s="22">
        <v>111393</v>
      </c>
      <c r="H193" s="22">
        <v>121871</v>
      </c>
      <c r="I193" s="22">
        <v>134799</v>
      </c>
      <c r="J193" s="22">
        <v>144884</v>
      </c>
      <c r="K193" s="22">
        <v>133592</v>
      </c>
      <c r="L193" s="22">
        <v>123442</v>
      </c>
      <c r="M193" s="22">
        <v>121077</v>
      </c>
      <c r="N193" s="22">
        <v>88031</v>
      </c>
      <c r="O193" s="22">
        <v>90010</v>
      </c>
      <c r="P193" s="29">
        <f t="shared" si="3"/>
        <v>1350115</v>
      </c>
      <c r="Q193" s="28">
        <v>-0.15</v>
      </c>
    </row>
    <row r="194" spans="1:17" ht="12.75">
      <c r="A194" s="1" t="s">
        <v>167</v>
      </c>
      <c r="B194" s="6" t="s">
        <v>193</v>
      </c>
      <c r="C194" s="29">
        <v>3674816</v>
      </c>
      <c r="D194" s="22">
        <v>285979</v>
      </c>
      <c r="E194" s="22">
        <v>283256</v>
      </c>
      <c r="F194" s="22">
        <v>348484</v>
      </c>
      <c r="G194" s="22">
        <v>319130</v>
      </c>
      <c r="H194" s="22">
        <v>366079</v>
      </c>
      <c r="I194" s="22">
        <v>384582</v>
      </c>
      <c r="J194" s="22">
        <v>334491</v>
      </c>
      <c r="K194" s="22">
        <v>349985</v>
      </c>
      <c r="L194" s="22">
        <v>390047</v>
      </c>
      <c r="M194" s="22">
        <v>384624</v>
      </c>
      <c r="N194" s="22">
        <v>366906</v>
      </c>
      <c r="O194" s="22">
        <v>318411</v>
      </c>
      <c r="P194" s="29">
        <f t="shared" si="3"/>
        <v>4131974</v>
      </c>
      <c r="Q194" s="28">
        <v>0.124</v>
      </c>
    </row>
    <row r="195" spans="1:17" ht="12.75">
      <c r="A195" s="1" t="s">
        <v>167</v>
      </c>
      <c r="B195" s="6" t="s">
        <v>209</v>
      </c>
      <c r="C195" s="29">
        <v>125781</v>
      </c>
      <c r="D195" s="22">
        <v>5347</v>
      </c>
      <c r="E195" s="22">
        <v>7990</v>
      </c>
      <c r="F195" s="22">
        <v>10999</v>
      </c>
      <c r="G195" s="22">
        <v>12389</v>
      </c>
      <c r="H195" s="22">
        <v>11550</v>
      </c>
      <c r="I195" s="22">
        <v>13450</v>
      </c>
      <c r="J195" s="22">
        <v>16404</v>
      </c>
      <c r="K195" s="22">
        <v>17359</v>
      </c>
      <c r="L195" s="22">
        <v>11081</v>
      </c>
      <c r="M195" s="22">
        <v>8407</v>
      </c>
      <c r="N195" s="22">
        <v>6680</v>
      </c>
      <c r="O195" s="22">
        <v>4694</v>
      </c>
      <c r="P195" s="29">
        <f t="shared" si="3"/>
        <v>126350</v>
      </c>
      <c r="Q195" s="28">
        <v>0.005</v>
      </c>
    </row>
    <row r="196" spans="1:17" ht="12.75">
      <c r="A196" s="1" t="s">
        <v>167</v>
      </c>
      <c r="B196" s="6" t="s">
        <v>199</v>
      </c>
      <c r="C196" s="29">
        <v>1649584</v>
      </c>
      <c r="D196" s="22">
        <v>122267</v>
      </c>
      <c r="E196" s="22">
        <v>128729</v>
      </c>
      <c r="F196" s="22">
        <v>148601</v>
      </c>
      <c r="G196" s="22">
        <v>140356</v>
      </c>
      <c r="H196" s="22">
        <v>162757</v>
      </c>
      <c r="I196" s="22">
        <v>174425</v>
      </c>
      <c r="J196" s="22">
        <v>162012</v>
      </c>
      <c r="K196" s="22">
        <v>161296</v>
      </c>
      <c r="L196" s="22">
        <v>164449</v>
      </c>
      <c r="M196" s="22">
        <v>155108</v>
      </c>
      <c r="N196" s="22">
        <v>148652</v>
      </c>
      <c r="O196" s="22">
        <v>131441</v>
      </c>
      <c r="P196" s="29">
        <f t="shared" si="3"/>
        <v>1800093</v>
      </c>
      <c r="Q196" s="28">
        <v>0.091</v>
      </c>
    </row>
    <row r="197" spans="1:17" ht="12.75">
      <c r="A197" s="1" t="s">
        <v>167</v>
      </c>
      <c r="B197" s="6" t="s">
        <v>194</v>
      </c>
      <c r="C197" s="29">
        <v>3521734</v>
      </c>
      <c r="D197" s="22">
        <v>268484</v>
      </c>
      <c r="E197" s="22">
        <v>279878</v>
      </c>
      <c r="F197" s="22">
        <v>330866</v>
      </c>
      <c r="G197" s="22">
        <v>300851</v>
      </c>
      <c r="H197" s="22">
        <v>351951</v>
      </c>
      <c r="I197" s="22">
        <v>365717</v>
      </c>
      <c r="J197" s="22">
        <v>296180</v>
      </c>
      <c r="K197" s="22">
        <v>335935</v>
      </c>
      <c r="L197" s="22">
        <v>371694</v>
      </c>
      <c r="M197" s="22">
        <v>388867</v>
      </c>
      <c r="N197" s="22">
        <v>351956</v>
      </c>
      <c r="O197" s="22">
        <v>284082</v>
      </c>
      <c r="P197" s="29">
        <f t="shared" si="3"/>
        <v>3926461</v>
      </c>
      <c r="Q197" s="28">
        <v>0.115</v>
      </c>
    </row>
    <row r="198" spans="1:17" ht="12.75">
      <c r="A198" s="15" t="s">
        <v>211</v>
      </c>
      <c r="B198" s="15" t="s">
        <v>358</v>
      </c>
      <c r="C198" s="29">
        <v>278150</v>
      </c>
      <c r="D198" s="22">
        <v>17293</v>
      </c>
      <c r="E198" s="22">
        <v>17346</v>
      </c>
      <c r="F198" s="22">
        <v>21008</v>
      </c>
      <c r="G198" s="22">
        <v>19986</v>
      </c>
      <c r="H198" s="22">
        <v>22394</v>
      </c>
      <c r="I198" s="22">
        <v>27514</v>
      </c>
      <c r="J198" s="22">
        <v>32271</v>
      </c>
      <c r="K198" s="22">
        <v>31535</v>
      </c>
      <c r="L198" s="22">
        <v>28700</v>
      </c>
      <c r="M198" s="22">
        <v>23017</v>
      </c>
      <c r="N198" s="22">
        <v>18460</v>
      </c>
      <c r="O198" s="22">
        <v>20012</v>
      </c>
      <c r="P198" s="29">
        <f t="shared" si="3"/>
        <v>279536</v>
      </c>
      <c r="Q198" s="28">
        <f aca="true" t="shared" si="4" ref="Q198:Q204">P198/C198-1</f>
        <v>0.004982922883336238</v>
      </c>
    </row>
    <row r="199" spans="1:17" ht="12.75">
      <c r="A199" s="1" t="s">
        <v>211</v>
      </c>
      <c r="B199" s="6" t="s">
        <v>215</v>
      </c>
      <c r="C199" s="29">
        <v>2231610</v>
      </c>
      <c r="D199" s="22">
        <v>154183</v>
      </c>
      <c r="E199" s="22">
        <v>138067</v>
      </c>
      <c r="F199" s="22">
        <v>166180</v>
      </c>
      <c r="G199" s="22">
        <v>193750</v>
      </c>
      <c r="H199" s="22">
        <v>221491</v>
      </c>
      <c r="I199" s="22">
        <v>239658</v>
      </c>
      <c r="J199" s="31">
        <v>268734</v>
      </c>
      <c r="K199" s="31">
        <v>260580</v>
      </c>
      <c r="L199" s="22">
        <v>250584</v>
      </c>
      <c r="M199" s="22">
        <v>215539</v>
      </c>
      <c r="N199" s="22">
        <v>175661</v>
      </c>
      <c r="O199" s="22">
        <v>179551</v>
      </c>
      <c r="P199" s="29">
        <f t="shared" si="3"/>
        <v>2463978</v>
      </c>
      <c r="Q199" s="28">
        <f t="shared" si="4"/>
        <v>0.10412572089209138</v>
      </c>
    </row>
    <row r="200" spans="1:17" ht="12.75">
      <c r="A200" s="1" t="s">
        <v>211</v>
      </c>
      <c r="B200" s="6" t="s">
        <v>213</v>
      </c>
      <c r="C200" s="29">
        <v>2403173</v>
      </c>
      <c r="D200" s="22">
        <v>146625</v>
      </c>
      <c r="E200" s="22">
        <v>116823</v>
      </c>
      <c r="F200" s="22">
        <v>142101</v>
      </c>
      <c r="G200" s="22">
        <v>168251</v>
      </c>
      <c r="H200" s="22">
        <v>206935</v>
      </c>
      <c r="I200" s="22">
        <v>279226</v>
      </c>
      <c r="J200" s="22">
        <v>338019</v>
      </c>
      <c r="K200" s="22">
        <v>343007</v>
      </c>
      <c r="L200" s="22">
        <v>297813</v>
      </c>
      <c r="M200" s="22">
        <v>197586</v>
      </c>
      <c r="N200" s="22">
        <v>161563</v>
      </c>
      <c r="O200" s="22">
        <v>146175</v>
      </c>
      <c r="P200" s="29">
        <f t="shared" si="3"/>
        <v>2544124</v>
      </c>
      <c r="Q200" s="28">
        <f t="shared" si="4"/>
        <v>0.05865204044819072</v>
      </c>
    </row>
    <row r="201" spans="1:17" ht="12.75">
      <c r="A201" s="1" t="s">
        <v>211</v>
      </c>
      <c r="B201" s="6" t="s">
        <v>214</v>
      </c>
      <c r="C201" s="29">
        <v>2864014</v>
      </c>
      <c r="D201" s="22">
        <v>179999</v>
      </c>
      <c r="E201" s="22">
        <v>178390</v>
      </c>
      <c r="F201" s="22">
        <v>211095</v>
      </c>
      <c r="G201" s="22">
        <v>238290</v>
      </c>
      <c r="H201" s="22">
        <v>271443</v>
      </c>
      <c r="I201" s="22">
        <v>287222</v>
      </c>
      <c r="J201" s="22">
        <v>316519</v>
      </c>
      <c r="K201" s="22">
        <v>317570</v>
      </c>
      <c r="L201" s="22">
        <v>304817</v>
      </c>
      <c r="M201" s="22">
        <v>278521</v>
      </c>
      <c r="N201" s="22">
        <v>215430</v>
      </c>
      <c r="O201" s="22">
        <v>214664</v>
      </c>
      <c r="P201" s="29">
        <f t="shared" si="3"/>
        <v>3013960</v>
      </c>
      <c r="Q201" s="28">
        <f t="shared" si="4"/>
        <v>0.05235519100116126</v>
      </c>
    </row>
    <row r="202" spans="1:17" ht="12.75">
      <c r="A202" s="1" t="s">
        <v>211</v>
      </c>
      <c r="B202" s="6" t="s">
        <v>290</v>
      </c>
      <c r="C202" s="29">
        <v>393942</v>
      </c>
      <c r="D202" s="22">
        <v>25881</v>
      </c>
      <c r="E202" s="22">
        <v>24199</v>
      </c>
      <c r="F202" s="22">
        <v>24770</v>
      </c>
      <c r="G202" s="22">
        <v>26466</v>
      </c>
      <c r="H202" s="22">
        <v>30766</v>
      </c>
      <c r="I202" s="22">
        <v>37338</v>
      </c>
      <c r="J202" s="22">
        <v>42730</v>
      </c>
      <c r="K202" s="22">
        <v>43309</v>
      </c>
      <c r="L202" s="22">
        <v>41063</v>
      </c>
      <c r="M202" s="22">
        <v>33685</v>
      </c>
      <c r="N202" s="22">
        <v>30798</v>
      </c>
      <c r="O202" s="22">
        <v>28281</v>
      </c>
      <c r="P202" s="29">
        <f t="shared" si="3"/>
        <v>389286</v>
      </c>
      <c r="Q202" s="28">
        <f t="shared" si="4"/>
        <v>-0.011818998735854569</v>
      </c>
    </row>
    <row r="203" spans="1:17" ht="12.75">
      <c r="A203" s="1" t="s">
        <v>211</v>
      </c>
      <c r="B203" s="6" t="s">
        <v>217</v>
      </c>
      <c r="C203" s="29">
        <v>1419122</v>
      </c>
      <c r="D203" s="22">
        <v>83543</v>
      </c>
      <c r="E203" s="22">
        <v>72772</v>
      </c>
      <c r="F203" s="22">
        <v>82731</v>
      </c>
      <c r="G203" s="22">
        <v>96404</v>
      </c>
      <c r="H203" s="22">
        <v>118790</v>
      </c>
      <c r="I203" s="22">
        <v>157206</v>
      </c>
      <c r="J203" s="22">
        <v>183525</v>
      </c>
      <c r="K203" s="22">
        <v>182513</v>
      </c>
      <c r="L203" s="22">
        <v>172645</v>
      </c>
      <c r="M203" s="22">
        <v>119056</v>
      </c>
      <c r="N203" s="22">
        <v>97719</v>
      </c>
      <c r="O203" s="22">
        <v>96708</v>
      </c>
      <c r="P203" s="29">
        <f t="shared" si="3"/>
        <v>1463612</v>
      </c>
      <c r="Q203" s="28">
        <f t="shared" si="4"/>
        <v>0.0313503701584501</v>
      </c>
    </row>
    <row r="204" spans="1:17" ht="12.75">
      <c r="A204" s="1" t="s">
        <v>211</v>
      </c>
      <c r="B204" s="6" t="s">
        <v>327</v>
      </c>
      <c r="C204" s="29">
        <v>454203</v>
      </c>
      <c r="D204" s="22">
        <v>25297</v>
      </c>
      <c r="E204" s="22">
        <v>24812</v>
      </c>
      <c r="F204" s="22">
        <v>35166</v>
      </c>
      <c r="G204" s="22">
        <v>37488</v>
      </c>
      <c r="H204" s="22">
        <v>44181</v>
      </c>
      <c r="I204" s="22">
        <v>46696</v>
      </c>
      <c r="J204" s="22">
        <v>55139</v>
      </c>
      <c r="K204" s="22">
        <v>54332</v>
      </c>
      <c r="L204" s="22">
        <v>50803</v>
      </c>
      <c r="M204" s="22">
        <v>44860</v>
      </c>
      <c r="N204" s="22">
        <v>33697</v>
      </c>
      <c r="O204" s="22">
        <v>35726</v>
      </c>
      <c r="P204" s="29">
        <f t="shared" si="3"/>
        <v>488197</v>
      </c>
      <c r="Q204" s="28">
        <f t="shared" si="4"/>
        <v>0.0748431868569781</v>
      </c>
    </row>
    <row r="205" spans="1:17" ht="12.75">
      <c r="A205" s="1" t="s">
        <v>211</v>
      </c>
      <c r="B205" s="6" t="s">
        <v>212</v>
      </c>
      <c r="C205" s="29">
        <v>8712384</v>
      </c>
      <c r="D205" s="22">
        <v>580202</v>
      </c>
      <c r="E205" s="22">
        <v>546645</v>
      </c>
      <c r="F205" s="22">
        <v>663703</v>
      </c>
      <c r="G205" s="22">
        <v>712988</v>
      </c>
      <c r="H205" s="24">
        <v>860803</v>
      </c>
      <c r="I205" s="24">
        <v>919347</v>
      </c>
      <c r="J205" s="24">
        <v>996101</v>
      </c>
      <c r="K205" s="24">
        <v>978400</v>
      </c>
      <c r="L205" s="22">
        <v>997406</v>
      </c>
      <c r="M205" s="22">
        <v>818112</v>
      </c>
      <c r="N205" s="22">
        <v>642000</v>
      </c>
      <c r="O205" s="22">
        <v>622200</v>
      </c>
      <c r="P205" s="29">
        <f t="shared" si="3"/>
        <v>9337907</v>
      </c>
      <c r="Q205" s="28">
        <v>0.072</v>
      </c>
    </row>
    <row r="206" spans="1:17" ht="12.75">
      <c r="A206" s="1" t="s">
        <v>211</v>
      </c>
      <c r="B206" s="6" t="s">
        <v>216</v>
      </c>
      <c r="C206" s="29">
        <v>1654384</v>
      </c>
      <c r="D206" s="22">
        <v>99632</v>
      </c>
      <c r="E206" s="22">
        <v>93707</v>
      </c>
      <c r="F206" s="22">
        <v>110339</v>
      </c>
      <c r="G206" s="22">
        <v>128091</v>
      </c>
      <c r="H206" s="22">
        <v>145041</v>
      </c>
      <c r="I206" s="22">
        <v>163273</v>
      </c>
      <c r="J206" s="22">
        <v>184710</v>
      </c>
      <c r="K206" s="22">
        <v>185390</v>
      </c>
      <c r="L206" s="22">
        <v>178354</v>
      </c>
      <c r="M206" s="22">
        <v>144841</v>
      </c>
      <c r="N206" s="22">
        <v>111094</v>
      </c>
      <c r="O206" s="22">
        <v>113000</v>
      </c>
      <c r="P206" s="29">
        <f t="shared" si="3"/>
        <v>1657472</v>
      </c>
      <c r="Q206" s="28">
        <f>P206/C206-1</f>
        <v>0.0018665557693982038</v>
      </c>
    </row>
    <row r="207" spans="1:17" ht="12.75">
      <c r="A207" s="1" t="s">
        <v>161</v>
      </c>
      <c r="B207" s="6" t="s">
        <v>175</v>
      </c>
      <c r="C207" s="29">
        <v>25938037</v>
      </c>
      <c r="D207" s="22">
        <v>1594366</v>
      </c>
      <c r="E207" s="22">
        <v>1440614</v>
      </c>
      <c r="F207" s="22">
        <v>1871380</v>
      </c>
      <c r="G207" s="22">
        <v>2440181</v>
      </c>
      <c r="H207" s="22">
        <v>2514605</v>
      </c>
      <c r="I207" s="22">
        <v>2640765</v>
      </c>
      <c r="J207" s="22">
        <v>3141710</v>
      </c>
      <c r="K207" s="22">
        <v>3275366</v>
      </c>
      <c r="L207" s="22">
        <v>2862635</v>
      </c>
      <c r="M207" s="22">
        <v>2533429</v>
      </c>
      <c r="N207" s="22">
        <v>1590759</v>
      </c>
      <c r="O207" s="22">
        <v>1683617</v>
      </c>
      <c r="P207" s="29">
        <v>27668558</v>
      </c>
      <c r="Q207" s="28">
        <f>P207/C207-1</f>
        <v>0.06671750063430015</v>
      </c>
    </row>
    <row r="208" spans="1:17" ht="12.75">
      <c r="A208" s="1" t="s">
        <v>161</v>
      </c>
      <c r="B208" s="6" t="s">
        <v>170</v>
      </c>
      <c r="C208" s="29">
        <v>5342439</v>
      </c>
      <c r="D208" s="22">
        <v>153267</v>
      </c>
      <c r="E208" s="22">
        <v>178382</v>
      </c>
      <c r="F208" s="22">
        <v>275710</v>
      </c>
      <c r="G208" s="22">
        <v>507657</v>
      </c>
      <c r="H208" s="22">
        <v>593735</v>
      </c>
      <c r="I208" s="22">
        <v>656405</v>
      </c>
      <c r="J208" s="22">
        <v>795956</v>
      </c>
      <c r="K208" s="22">
        <v>795793</v>
      </c>
      <c r="L208" s="22">
        <v>722506</v>
      </c>
      <c r="M208" s="22">
        <v>602788</v>
      </c>
      <c r="N208" s="22">
        <v>182011</v>
      </c>
      <c r="O208" s="22">
        <v>140921</v>
      </c>
      <c r="P208" s="29">
        <v>5615580</v>
      </c>
      <c r="Q208" s="28">
        <f aca="true" t="shared" si="5" ref="Q208:Q215">P208/C208-1</f>
        <v>0.051126648334215874</v>
      </c>
    </row>
    <row r="209" spans="1:17" ht="12.75">
      <c r="A209" s="1" t="s">
        <v>161</v>
      </c>
      <c r="B209" s="6" t="s">
        <v>173</v>
      </c>
      <c r="C209" s="29">
        <v>189933</v>
      </c>
      <c r="D209" s="22">
        <v>10236</v>
      </c>
      <c r="E209" s="22">
        <v>8744</v>
      </c>
      <c r="F209" s="22">
        <v>11110</v>
      </c>
      <c r="G209" s="22">
        <v>15123</v>
      </c>
      <c r="H209" s="22">
        <v>15277</v>
      </c>
      <c r="I209" s="22">
        <v>18910</v>
      </c>
      <c r="J209" s="22">
        <v>24850</v>
      </c>
      <c r="K209" s="22">
        <v>29279</v>
      </c>
      <c r="L209" s="22">
        <v>18367</v>
      </c>
      <c r="M209" s="22">
        <v>12877</v>
      </c>
      <c r="N209" s="22">
        <v>9330</v>
      </c>
      <c r="O209" s="22">
        <v>9302</v>
      </c>
      <c r="P209" s="29">
        <v>191969</v>
      </c>
      <c r="Q209" s="28">
        <f t="shared" si="5"/>
        <v>0.010719569532414042</v>
      </c>
    </row>
    <row r="210" spans="1:17" ht="12.75">
      <c r="A210" s="1" t="s">
        <v>161</v>
      </c>
      <c r="B210" s="6" t="s">
        <v>162</v>
      </c>
      <c r="C210" s="29">
        <v>14066354</v>
      </c>
      <c r="D210" s="22">
        <v>964263</v>
      </c>
      <c r="E210" s="22">
        <v>840533</v>
      </c>
      <c r="F210" s="22">
        <v>1064923</v>
      </c>
      <c r="G210" s="22">
        <v>1289150</v>
      </c>
      <c r="H210" s="22">
        <v>1272190</v>
      </c>
      <c r="I210" s="22">
        <v>1329419</v>
      </c>
      <c r="J210" s="22">
        <v>1558170</v>
      </c>
      <c r="K210" s="22">
        <v>1613119</v>
      </c>
      <c r="L210" s="22">
        <v>1451659</v>
      </c>
      <c r="M210" s="22">
        <v>1335072</v>
      </c>
      <c r="N210" s="22">
        <v>975379</v>
      </c>
      <c r="O210" s="22">
        <v>1038375</v>
      </c>
      <c r="P210" s="29">
        <v>14790242</v>
      </c>
      <c r="Q210" s="28">
        <f t="shared" si="5"/>
        <v>0.051462376106843344</v>
      </c>
    </row>
    <row r="211" spans="1:17" ht="12.75">
      <c r="A211" s="1" t="s">
        <v>161</v>
      </c>
      <c r="B211" s="6" t="s">
        <v>171</v>
      </c>
      <c r="C211" s="29">
        <v>2233524</v>
      </c>
      <c r="D211" s="22">
        <v>150022</v>
      </c>
      <c r="E211" s="22">
        <v>138371</v>
      </c>
      <c r="F211" s="22">
        <v>188348</v>
      </c>
      <c r="G211" s="22">
        <v>228842</v>
      </c>
      <c r="H211" s="22">
        <v>228937</v>
      </c>
      <c r="I211" s="22">
        <v>198124</v>
      </c>
      <c r="J211" s="22">
        <v>227994</v>
      </c>
      <c r="K211" s="22">
        <v>263299</v>
      </c>
      <c r="L211" s="22">
        <v>225448</v>
      </c>
      <c r="M211" s="22">
        <v>190409</v>
      </c>
      <c r="N211" s="22">
        <v>136702</v>
      </c>
      <c r="O211" s="22">
        <v>134911</v>
      </c>
      <c r="P211" s="29">
        <v>2311380</v>
      </c>
      <c r="Q211" s="28">
        <f t="shared" si="5"/>
        <v>0.03485791959253626</v>
      </c>
    </row>
    <row r="212" spans="1:17" ht="12.75">
      <c r="A212" s="1" t="s">
        <v>161</v>
      </c>
      <c r="B212" s="6" t="s">
        <v>172</v>
      </c>
      <c r="C212" s="29">
        <v>930579</v>
      </c>
      <c r="D212" s="22">
        <v>49232</v>
      </c>
      <c r="E212" s="22">
        <v>42959</v>
      </c>
      <c r="F212" s="22">
        <v>59582</v>
      </c>
      <c r="G212" s="22">
        <v>83439</v>
      </c>
      <c r="H212" s="22">
        <v>82067</v>
      </c>
      <c r="I212" s="22">
        <v>93410</v>
      </c>
      <c r="J212" s="22">
        <v>119529</v>
      </c>
      <c r="K212" s="22">
        <v>136701</v>
      </c>
      <c r="L212" s="22">
        <v>93530</v>
      </c>
      <c r="M212" s="22">
        <v>69529</v>
      </c>
      <c r="N212" s="22">
        <v>47896</v>
      </c>
      <c r="O212" s="22">
        <v>50526</v>
      </c>
      <c r="P212" s="29">
        <v>928801</v>
      </c>
      <c r="Q212" s="28">
        <f t="shared" si="5"/>
        <v>-0.0019106384304825585</v>
      </c>
    </row>
    <row r="213" spans="1:17" ht="12.75">
      <c r="A213" s="1" t="s">
        <v>161</v>
      </c>
      <c r="B213" s="6" t="s">
        <v>169</v>
      </c>
      <c r="C213" s="29">
        <v>5279531</v>
      </c>
      <c r="D213" s="22">
        <v>407695</v>
      </c>
      <c r="E213" s="22">
        <v>362082</v>
      </c>
      <c r="F213" s="22">
        <v>446268</v>
      </c>
      <c r="G213" s="22">
        <v>529935</v>
      </c>
      <c r="H213" s="22">
        <v>540644</v>
      </c>
      <c r="I213" s="22">
        <v>531083</v>
      </c>
      <c r="J213" s="22">
        <v>626245</v>
      </c>
      <c r="K213" s="22">
        <v>684002</v>
      </c>
      <c r="L213" s="22">
        <v>563853</v>
      </c>
      <c r="M213" s="22">
        <v>503971</v>
      </c>
      <c r="N213" s="22">
        <v>368414</v>
      </c>
      <c r="O213" s="22">
        <v>437950</v>
      </c>
      <c r="P213" s="29">
        <v>6003408</v>
      </c>
      <c r="Q213" s="28">
        <f t="shared" si="5"/>
        <v>0.1371100955747775</v>
      </c>
    </row>
    <row r="214" spans="1:17" ht="12.75">
      <c r="A214" s="1" t="s">
        <v>161</v>
      </c>
      <c r="B214" s="6" t="s">
        <v>174</v>
      </c>
      <c r="C214" s="29">
        <v>103337</v>
      </c>
      <c r="D214" s="22">
        <v>4750</v>
      </c>
      <c r="E214" s="22">
        <v>2656</v>
      </c>
      <c r="F214" s="22">
        <v>3341</v>
      </c>
      <c r="G214" s="22">
        <v>6699</v>
      </c>
      <c r="H214" s="22">
        <v>9949</v>
      </c>
      <c r="I214" s="22">
        <v>13498</v>
      </c>
      <c r="J214" s="22">
        <v>18757</v>
      </c>
      <c r="K214" s="22">
        <v>20459</v>
      </c>
      <c r="L214" s="22">
        <v>14712</v>
      </c>
      <c r="M214" s="22">
        <v>6247</v>
      </c>
      <c r="N214" s="22">
        <v>3042</v>
      </c>
      <c r="O214" s="22">
        <v>2841</v>
      </c>
      <c r="P214" s="29">
        <v>106592</v>
      </c>
      <c r="Q214" s="28">
        <f t="shared" si="5"/>
        <v>0.031498882297724906</v>
      </c>
    </row>
    <row r="215" spans="1:17" ht="12.75">
      <c r="A215" s="1" t="s">
        <v>239</v>
      </c>
      <c r="B215" s="6" t="s">
        <v>294</v>
      </c>
      <c r="C215" s="29">
        <v>240761</v>
      </c>
      <c r="D215" s="22">
        <v>15723</v>
      </c>
      <c r="E215" s="22">
        <v>13844</v>
      </c>
      <c r="F215" s="22">
        <v>17531</v>
      </c>
      <c r="G215" s="22">
        <v>27143</v>
      </c>
      <c r="H215" s="22">
        <v>30527</v>
      </c>
      <c r="I215" s="22">
        <v>33300</v>
      </c>
      <c r="J215" s="38">
        <v>39079</v>
      </c>
      <c r="K215" s="38">
        <v>42456</v>
      </c>
      <c r="L215" s="38">
        <v>37845</v>
      </c>
      <c r="M215" s="38">
        <v>30758</v>
      </c>
      <c r="N215" s="38">
        <v>17831</v>
      </c>
      <c r="O215" s="38">
        <v>21712</v>
      </c>
      <c r="P215" s="29">
        <f t="shared" si="3"/>
        <v>327749</v>
      </c>
      <c r="Q215" s="28">
        <f t="shared" si="5"/>
        <v>0.36130436407889976</v>
      </c>
    </row>
    <row r="216" spans="1:17" ht="12.75">
      <c r="A216" s="1" t="s">
        <v>239</v>
      </c>
      <c r="B216" s="6" t="s">
        <v>250</v>
      </c>
      <c r="C216" s="29">
        <v>2117668</v>
      </c>
      <c r="D216" s="22">
        <v>169497</v>
      </c>
      <c r="E216" s="22">
        <v>143455</v>
      </c>
      <c r="F216" s="22">
        <v>172537</v>
      </c>
      <c r="G216" s="22">
        <v>205312</v>
      </c>
      <c r="H216" s="22">
        <v>210957</v>
      </c>
      <c r="I216" s="24">
        <v>225402</v>
      </c>
      <c r="J216" s="24">
        <v>253374</v>
      </c>
      <c r="K216" s="24">
        <v>257221</v>
      </c>
      <c r="L216" s="24">
        <v>221881</v>
      </c>
      <c r="M216" s="22">
        <v>207497</v>
      </c>
      <c r="N216" s="22">
        <v>157274</v>
      </c>
      <c r="O216" s="22">
        <v>173358</v>
      </c>
      <c r="P216" s="29">
        <v>2397990</v>
      </c>
      <c r="Q216" s="28">
        <v>0.132</v>
      </c>
    </row>
    <row r="217" spans="1:17" ht="12.75">
      <c r="A217" s="1" t="s">
        <v>239</v>
      </c>
      <c r="B217" s="6" t="s">
        <v>240</v>
      </c>
      <c r="C217" s="29">
        <v>4916964</v>
      </c>
      <c r="D217" s="22">
        <v>333275</v>
      </c>
      <c r="E217" s="22">
        <v>308178</v>
      </c>
      <c r="F217" s="22">
        <v>349846</v>
      </c>
      <c r="G217" s="22">
        <v>400138</v>
      </c>
      <c r="H217" s="22">
        <v>445136</v>
      </c>
      <c r="I217" s="22">
        <v>469980</v>
      </c>
      <c r="J217" s="22">
        <v>504846</v>
      </c>
      <c r="K217" s="22">
        <v>520808</v>
      </c>
      <c r="L217" s="22">
        <v>514992</v>
      </c>
      <c r="M217" s="22">
        <v>444156</v>
      </c>
      <c r="N217" s="22">
        <v>375651</v>
      </c>
      <c r="O217" s="22">
        <v>371995</v>
      </c>
      <c r="P217" s="29">
        <v>5049443</v>
      </c>
      <c r="Q217" s="28">
        <v>0.027</v>
      </c>
    </row>
    <row r="218" spans="1:17" ht="12.75">
      <c r="A218" s="1" t="s">
        <v>239</v>
      </c>
      <c r="B218" s="6" t="s">
        <v>251</v>
      </c>
      <c r="C218" s="29">
        <v>1029507</v>
      </c>
      <c r="D218" s="22">
        <v>76372</v>
      </c>
      <c r="E218" s="22">
        <v>65871</v>
      </c>
      <c r="F218" s="22">
        <v>81130</v>
      </c>
      <c r="G218" s="22">
        <v>97699</v>
      </c>
      <c r="H218" s="22">
        <v>84902</v>
      </c>
      <c r="I218" s="22">
        <v>94450</v>
      </c>
      <c r="J218" s="22">
        <v>106378</v>
      </c>
      <c r="K218" s="22">
        <v>104380</v>
      </c>
      <c r="L218" s="22">
        <v>102456</v>
      </c>
      <c r="M218" s="22">
        <v>87051</v>
      </c>
      <c r="N218" s="22">
        <v>67425</v>
      </c>
      <c r="O218" s="22">
        <v>53522</v>
      </c>
      <c r="P218" s="29">
        <v>1025906</v>
      </c>
      <c r="Q218" s="28">
        <v>-0.047</v>
      </c>
    </row>
    <row r="219" spans="1:17" ht="12.75">
      <c r="A219" s="1" t="s">
        <v>239</v>
      </c>
      <c r="B219" s="6" t="s">
        <v>293</v>
      </c>
      <c r="C219" s="29">
        <v>126740</v>
      </c>
      <c r="D219" s="22">
        <v>10538</v>
      </c>
      <c r="E219" s="22">
        <v>10936</v>
      </c>
      <c r="F219" s="22">
        <v>13085</v>
      </c>
      <c r="G219" s="22">
        <v>14145</v>
      </c>
      <c r="H219" s="22">
        <v>16262</v>
      </c>
      <c r="I219" s="22">
        <v>16823</v>
      </c>
      <c r="J219" s="22"/>
      <c r="K219" s="22"/>
      <c r="L219" s="22"/>
      <c r="M219" s="22"/>
      <c r="N219" s="22"/>
      <c r="O219" s="22"/>
      <c r="P219" s="29">
        <f t="shared" si="3"/>
        <v>81789</v>
      </c>
      <c r="Q219" s="28"/>
    </row>
    <row r="220" spans="1:17" ht="12.75">
      <c r="A220" s="1" t="s">
        <v>239</v>
      </c>
      <c r="B220" s="6" t="s">
        <v>295</v>
      </c>
      <c r="C220" s="29">
        <v>198752</v>
      </c>
      <c r="D220" s="22">
        <v>9732</v>
      </c>
      <c r="E220" s="22">
        <v>10761</v>
      </c>
      <c r="F220" s="22">
        <v>12062</v>
      </c>
      <c r="G220" s="22">
        <v>13559</v>
      </c>
      <c r="H220" s="22">
        <v>17367</v>
      </c>
      <c r="I220" s="22">
        <v>18398</v>
      </c>
      <c r="J220" s="50">
        <v>18652</v>
      </c>
      <c r="K220" s="50">
        <v>20710</v>
      </c>
      <c r="L220" s="50">
        <v>19117</v>
      </c>
      <c r="M220" s="22"/>
      <c r="N220" s="22"/>
      <c r="O220" s="22"/>
      <c r="P220" s="29">
        <f t="shared" si="3"/>
        <v>140358</v>
      </c>
      <c r="Q220" s="28"/>
    </row>
    <row r="221" spans="1:17" ht="12.75">
      <c r="A221" s="1" t="s">
        <v>239</v>
      </c>
      <c r="B221" s="6" t="s">
        <v>252</v>
      </c>
      <c r="C221" s="29">
        <v>1136064</v>
      </c>
      <c r="D221" s="22">
        <v>82725</v>
      </c>
      <c r="E221" s="22">
        <v>72526</v>
      </c>
      <c r="F221" s="22">
        <v>83635</v>
      </c>
      <c r="G221" s="22">
        <v>95283</v>
      </c>
      <c r="H221" s="22">
        <v>108076</v>
      </c>
      <c r="I221" s="22">
        <v>113703</v>
      </c>
      <c r="J221" s="50">
        <v>122948</v>
      </c>
      <c r="K221" s="50">
        <v>130081</v>
      </c>
      <c r="L221" s="50">
        <v>120298</v>
      </c>
      <c r="M221" s="50">
        <v>100181</v>
      </c>
      <c r="N221" s="50">
        <v>85317</v>
      </c>
      <c r="O221" s="50">
        <v>85989</v>
      </c>
      <c r="P221" s="29">
        <f t="shared" si="3"/>
        <v>1200762</v>
      </c>
      <c r="Q221" s="28">
        <f aca="true" t="shared" si="6" ref="Q221:Q230">P221/C221-1</f>
        <v>0.05694925637992232</v>
      </c>
    </row>
    <row r="222" spans="1:17" ht="12.75">
      <c r="A222" s="1" t="s">
        <v>245</v>
      </c>
      <c r="B222" s="6" t="s">
        <v>298</v>
      </c>
      <c r="C222" s="29">
        <v>2697208</v>
      </c>
      <c r="D222" s="22">
        <v>197529</v>
      </c>
      <c r="E222" s="22">
        <v>172311</v>
      </c>
      <c r="F222" s="22">
        <v>201825</v>
      </c>
      <c r="G222" s="22">
        <v>224274</v>
      </c>
      <c r="H222" s="22">
        <v>269291</v>
      </c>
      <c r="I222" s="22">
        <v>326089</v>
      </c>
      <c r="J222" s="22">
        <v>374631</v>
      </c>
      <c r="K222" s="22">
        <v>388818</v>
      </c>
      <c r="L222" s="22">
        <v>340462</v>
      </c>
      <c r="M222" s="22">
        <v>281460</v>
      </c>
      <c r="N222" s="22">
        <v>254753</v>
      </c>
      <c r="O222" s="22">
        <v>257609</v>
      </c>
      <c r="P222" s="29">
        <v>3289052</v>
      </c>
      <c r="Q222" s="28">
        <f t="shared" si="6"/>
        <v>0.2194283866872706</v>
      </c>
    </row>
    <row r="223" spans="1:17" ht="12.75">
      <c r="A223" s="1" t="s">
        <v>245</v>
      </c>
      <c r="B223" s="6" t="s">
        <v>313</v>
      </c>
      <c r="C223" s="29">
        <v>1364369</v>
      </c>
      <c r="D223" s="22">
        <v>96956</v>
      </c>
      <c r="E223" s="22">
        <v>87890</v>
      </c>
      <c r="F223" s="22">
        <v>103938</v>
      </c>
      <c r="G223" s="22">
        <v>105053</v>
      </c>
      <c r="H223" s="22">
        <v>112680</v>
      </c>
      <c r="I223" s="22">
        <v>136350</v>
      </c>
      <c r="J223" s="22"/>
      <c r="K223" s="22"/>
      <c r="L223" s="22"/>
      <c r="M223" s="22"/>
      <c r="N223" s="22"/>
      <c r="O223" s="22"/>
      <c r="P223" s="29">
        <f t="shared" si="3"/>
        <v>642867</v>
      </c>
      <c r="Q223" s="28"/>
    </row>
    <row r="224" spans="1:17" ht="12.75">
      <c r="A224" s="1" t="s">
        <v>245</v>
      </c>
      <c r="B224" s="6" t="s">
        <v>246</v>
      </c>
      <c r="C224" s="29">
        <v>22253529</v>
      </c>
      <c r="D224" s="22">
        <v>1622649</v>
      </c>
      <c r="E224" s="22">
        <v>1264252</v>
      </c>
      <c r="F224" s="22">
        <v>1579972</v>
      </c>
      <c r="G224" s="22">
        <v>1898609</v>
      </c>
      <c r="H224" s="22">
        <v>2264928</v>
      </c>
      <c r="I224" s="22">
        <v>2590387</v>
      </c>
      <c r="J224" s="22">
        <v>2912932</v>
      </c>
      <c r="K224" s="22">
        <v>3019101</v>
      </c>
      <c r="L224" s="22">
        <v>2651653</v>
      </c>
      <c r="M224" s="22">
        <v>2210217</v>
      </c>
      <c r="N224" s="22">
        <v>1848244</v>
      </c>
      <c r="O224" s="22">
        <v>1837012</v>
      </c>
      <c r="P224" s="29">
        <v>25701610</v>
      </c>
      <c r="Q224" s="28">
        <f t="shared" si="6"/>
        <v>0.1549453572060413</v>
      </c>
    </row>
    <row r="225" spans="1:17" ht="12.75">
      <c r="A225" s="1" t="s">
        <v>245</v>
      </c>
      <c r="B225" s="6" t="s">
        <v>247</v>
      </c>
      <c r="C225" s="29">
        <v>19123007</v>
      </c>
      <c r="D225" s="22">
        <v>1442261</v>
      </c>
      <c r="E225" s="22">
        <v>1308717</v>
      </c>
      <c r="F225" s="22">
        <v>1523942</v>
      </c>
      <c r="G225" s="22">
        <v>1573338</v>
      </c>
      <c r="H225" s="22">
        <v>1821113</v>
      </c>
      <c r="I225" s="22">
        <v>2169579</v>
      </c>
      <c r="J225" s="22">
        <v>2439212</v>
      </c>
      <c r="K225" s="22">
        <v>2462693</v>
      </c>
      <c r="L225" s="22">
        <v>2239572</v>
      </c>
      <c r="M225" s="22">
        <v>1918350</v>
      </c>
      <c r="N225" s="22">
        <v>1742811</v>
      </c>
      <c r="O225" s="22">
        <v>1731018</v>
      </c>
      <c r="P225" s="29">
        <v>22351317</v>
      </c>
      <c r="Q225" s="28">
        <f t="shared" si="6"/>
        <v>0.16881811526816892</v>
      </c>
    </row>
    <row r="226" spans="1:17" ht="12.75">
      <c r="A226" s="1" t="s">
        <v>245</v>
      </c>
      <c r="B226" s="6" t="s">
        <v>248</v>
      </c>
      <c r="C226" s="29">
        <v>9460292</v>
      </c>
      <c r="D226" s="22">
        <v>569329</v>
      </c>
      <c r="E226" s="22">
        <v>494655</v>
      </c>
      <c r="F226" s="22">
        <v>573895</v>
      </c>
      <c r="G226" s="22">
        <v>582102</v>
      </c>
      <c r="H226" s="22">
        <v>598555</v>
      </c>
      <c r="I226" s="22">
        <v>698150</v>
      </c>
      <c r="J226" s="22">
        <v>933567</v>
      </c>
      <c r="K226" s="22">
        <v>976084</v>
      </c>
      <c r="L226" s="22">
        <v>858945</v>
      </c>
      <c r="M226" s="22">
        <v>720000</v>
      </c>
      <c r="N226" s="22">
        <v>602344</v>
      </c>
      <c r="O226" s="22">
        <v>589536</v>
      </c>
      <c r="P226" s="29">
        <v>8197162</v>
      </c>
      <c r="Q226" s="28">
        <f t="shared" si="6"/>
        <v>-0.13351913450451636</v>
      </c>
    </row>
    <row r="227" spans="1:17" ht="12.75">
      <c r="A227" s="1" t="s">
        <v>245</v>
      </c>
      <c r="B227" s="6" t="s">
        <v>299</v>
      </c>
      <c r="C227" s="29">
        <v>2132445</v>
      </c>
      <c r="D227" s="22">
        <v>155796</v>
      </c>
      <c r="E227" s="22">
        <v>147521</v>
      </c>
      <c r="F227" s="22">
        <v>169344</v>
      </c>
      <c r="G227" s="22">
        <v>179138</v>
      </c>
      <c r="H227" s="22">
        <v>195593</v>
      </c>
      <c r="I227" s="22">
        <v>243129</v>
      </c>
      <c r="J227" s="22">
        <v>294165</v>
      </c>
      <c r="K227" s="22">
        <v>312934</v>
      </c>
      <c r="L227" s="22">
        <v>260594</v>
      </c>
      <c r="M227" s="22">
        <v>227212</v>
      </c>
      <c r="N227" s="22">
        <v>216219</v>
      </c>
      <c r="O227" s="22">
        <v>222699</v>
      </c>
      <c r="P227" s="29">
        <v>2624344</v>
      </c>
      <c r="Q227" s="28">
        <f t="shared" si="6"/>
        <v>0.23067371022464833</v>
      </c>
    </row>
    <row r="228" spans="1:17" ht="12.75">
      <c r="A228" s="1" t="s">
        <v>245</v>
      </c>
      <c r="B228" s="6" t="s">
        <v>312</v>
      </c>
      <c r="C228" s="29">
        <v>1438623</v>
      </c>
      <c r="D228" s="22">
        <v>103846</v>
      </c>
      <c r="E228" s="22">
        <v>80394</v>
      </c>
      <c r="F228" s="22">
        <v>98024</v>
      </c>
      <c r="G228" s="22">
        <v>117168</v>
      </c>
      <c r="H228" s="22">
        <v>150685</v>
      </c>
      <c r="I228" s="22">
        <v>181516</v>
      </c>
      <c r="J228" s="22">
        <v>200391</v>
      </c>
      <c r="K228" s="22">
        <v>201148</v>
      </c>
      <c r="L228" s="22">
        <v>179502</v>
      </c>
      <c r="M228" s="22">
        <v>145355</v>
      </c>
      <c r="N228" s="22">
        <v>130755</v>
      </c>
      <c r="O228" s="22">
        <v>127294</v>
      </c>
      <c r="P228" s="29">
        <v>1716078</v>
      </c>
      <c r="Q228" s="28">
        <f t="shared" si="6"/>
        <v>0.19286150714954498</v>
      </c>
    </row>
    <row r="229" spans="1:17" ht="12.75">
      <c r="A229" s="1" t="s">
        <v>245</v>
      </c>
      <c r="B229" s="6" t="s">
        <v>300</v>
      </c>
      <c r="C229" s="29">
        <v>1535041</v>
      </c>
      <c r="D229" s="22">
        <v>97966</v>
      </c>
      <c r="E229" s="22">
        <v>89218</v>
      </c>
      <c r="F229" s="22">
        <v>106678</v>
      </c>
      <c r="G229" s="22">
        <v>120799</v>
      </c>
      <c r="H229" s="22">
        <v>145076</v>
      </c>
      <c r="I229" s="22">
        <v>176034</v>
      </c>
      <c r="J229" s="22">
        <v>192814</v>
      </c>
      <c r="K229" s="22">
        <v>201772</v>
      </c>
      <c r="L229" s="22">
        <v>181509</v>
      </c>
      <c r="M229" s="22">
        <v>145418</v>
      </c>
      <c r="N229" s="22">
        <v>129984</v>
      </c>
      <c r="O229" s="22">
        <v>126441</v>
      </c>
      <c r="P229" s="29">
        <v>1713709</v>
      </c>
      <c r="Q229" s="28">
        <f t="shared" si="6"/>
        <v>0.11639298233727957</v>
      </c>
    </row>
    <row r="230" spans="1:17" ht="12.75">
      <c r="A230" s="1" t="s">
        <v>245</v>
      </c>
      <c r="B230" s="6" t="s">
        <v>249</v>
      </c>
      <c r="C230" s="29">
        <v>8391281</v>
      </c>
      <c r="D230" s="22">
        <v>565484</v>
      </c>
      <c r="E230" s="22">
        <v>475612</v>
      </c>
      <c r="F230" s="22">
        <v>580064</v>
      </c>
      <c r="G230" s="22">
        <v>640327</v>
      </c>
      <c r="H230" s="22">
        <v>830162</v>
      </c>
      <c r="I230" s="22">
        <v>1042311</v>
      </c>
      <c r="J230" s="22">
        <v>1141163</v>
      </c>
      <c r="K230" s="22">
        <v>1153019</v>
      </c>
      <c r="L230" s="22">
        <v>998242</v>
      </c>
      <c r="M230" s="22">
        <v>806376</v>
      </c>
      <c r="N230" s="22">
        <v>690042</v>
      </c>
      <c r="O230" s="22">
        <v>687311</v>
      </c>
      <c r="P230" s="29">
        <v>9610113</v>
      </c>
      <c r="Q230" s="28">
        <f t="shared" si="6"/>
        <v>0.14524981346709764</v>
      </c>
    </row>
    <row r="231" spans="1:17" ht="12.75">
      <c r="A231" s="1" t="s">
        <v>245</v>
      </c>
      <c r="B231" s="6" t="s">
        <v>314</v>
      </c>
      <c r="C231" s="29">
        <v>1262823</v>
      </c>
      <c r="D231" s="22">
        <v>94690</v>
      </c>
      <c r="E231" s="22">
        <v>89535</v>
      </c>
      <c r="F231" s="22">
        <v>101880</v>
      </c>
      <c r="G231" s="22">
        <v>103928</v>
      </c>
      <c r="H231" s="22">
        <v>114817</v>
      </c>
      <c r="I231" s="22">
        <v>130743</v>
      </c>
      <c r="J231" s="22"/>
      <c r="K231" s="22"/>
      <c r="L231" s="22"/>
      <c r="M231" s="22"/>
      <c r="N231" s="22"/>
      <c r="O231" s="22"/>
      <c r="P231" s="29">
        <f aca="true" t="shared" si="7" ref="P231:P290">SUM(D231:O231)</f>
        <v>635593</v>
      </c>
      <c r="Q231" s="28"/>
    </row>
    <row r="232" spans="1:17" ht="12.75">
      <c r="A232" s="1" t="s">
        <v>219</v>
      </c>
      <c r="B232" s="6" t="s">
        <v>220</v>
      </c>
      <c r="C232" s="29">
        <v>2698730</v>
      </c>
      <c r="D232" s="22">
        <v>178732</v>
      </c>
      <c r="E232" s="22">
        <v>162813</v>
      </c>
      <c r="F232" s="22">
        <v>188826</v>
      </c>
      <c r="G232" s="22">
        <v>240282</v>
      </c>
      <c r="H232" s="22">
        <v>262974</v>
      </c>
      <c r="I232" s="22">
        <v>301782</v>
      </c>
      <c r="J232" s="22">
        <v>384256</v>
      </c>
      <c r="K232" s="22">
        <v>382787</v>
      </c>
      <c r="L232" s="22">
        <v>316711</v>
      </c>
      <c r="M232" s="22">
        <v>272673</v>
      </c>
      <c r="N232" s="22">
        <v>215017</v>
      </c>
      <c r="O232" s="22">
        <v>217684</v>
      </c>
      <c r="P232" s="29">
        <f t="shared" si="7"/>
        <v>3124537</v>
      </c>
      <c r="Q232" s="28">
        <f>P232/C232-1</f>
        <v>0.15778051157396256</v>
      </c>
    </row>
    <row r="233" spans="1:17" ht="12.75">
      <c r="A233" s="1" t="s">
        <v>256</v>
      </c>
      <c r="B233" s="6" t="s">
        <v>257</v>
      </c>
      <c r="C233" s="29">
        <v>1665704</v>
      </c>
      <c r="D233" s="22">
        <v>78775</v>
      </c>
      <c r="E233" s="22">
        <v>74570</v>
      </c>
      <c r="F233" s="22">
        <v>98973</v>
      </c>
      <c r="G233" s="22">
        <v>101727</v>
      </c>
      <c r="H233" s="22">
        <v>112958</v>
      </c>
      <c r="I233" s="22">
        <v>174812</v>
      </c>
      <c r="J233" s="22">
        <v>251024</v>
      </c>
      <c r="K233" s="22">
        <f>245745</f>
        <v>245745</v>
      </c>
      <c r="L233" s="22">
        <v>181968</v>
      </c>
      <c r="M233" s="22">
        <v>120464</v>
      </c>
      <c r="N233" s="22">
        <v>74610</v>
      </c>
      <c r="O233" s="22">
        <v>69438</v>
      </c>
      <c r="P233" s="29">
        <f t="shared" si="7"/>
        <v>1585064</v>
      </c>
      <c r="Q233" s="28">
        <f>P233/C233-1</f>
        <v>-0.04841196274968418</v>
      </c>
    </row>
    <row r="234" spans="1:17" s="1" customFormat="1" ht="12.75">
      <c r="A234" s="1" t="s">
        <v>256</v>
      </c>
      <c r="B234" s="6" t="s">
        <v>258</v>
      </c>
      <c r="C234" s="29">
        <v>267060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9">
        <f t="shared" si="7"/>
        <v>0</v>
      </c>
      <c r="Q234" s="28"/>
    </row>
    <row r="235" spans="1:17" ht="12.75">
      <c r="A235" s="1" t="s">
        <v>297</v>
      </c>
      <c r="B235" s="6" t="s">
        <v>324</v>
      </c>
      <c r="C235" s="29">
        <f>P235/(1+Q235)</f>
        <v>1303098.1781376519</v>
      </c>
      <c r="D235" s="22">
        <v>77242</v>
      </c>
      <c r="E235" s="22">
        <v>73833</v>
      </c>
      <c r="F235" s="22">
        <v>88558</v>
      </c>
      <c r="G235" s="22">
        <v>106537</v>
      </c>
      <c r="H235" s="22">
        <v>118225</v>
      </c>
      <c r="I235" s="22">
        <v>142693</v>
      </c>
      <c r="J235" s="35">
        <v>172646</v>
      </c>
      <c r="K235" s="22">
        <v>168820</v>
      </c>
      <c r="L235" s="35">
        <v>148982</v>
      </c>
      <c r="M235" s="35">
        <v>112677</v>
      </c>
      <c r="N235" s="35">
        <v>83008</v>
      </c>
      <c r="O235" s="35">
        <v>72153</v>
      </c>
      <c r="P235" s="29">
        <v>1287461</v>
      </c>
      <c r="Q235" s="28">
        <v>-0.012</v>
      </c>
    </row>
    <row r="236" spans="1:17" ht="12.75">
      <c r="A236" s="1" t="s">
        <v>33</v>
      </c>
      <c r="B236" s="1" t="s">
        <v>57</v>
      </c>
      <c r="C236" s="29">
        <v>1101208</v>
      </c>
      <c r="D236" s="22">
        <v>74812</v>
      </c>
      <c r="E236" s="22">
        <v>76285</v>
      </c>
      <c r="F236" s="22">
        <v>91762</v>
      </c>
      <c r="G236" s="22">
        <v>91795</v>
      </c>
      <c r="H236" s="22">
        <v>92905</v>
      </c>
      <c r="I236" s="22">
        <v>87775</v>
      </c>
      <c r="J236" s="22">
        <v>96385</v>
      </c>
      <c r="K236" s="22">
        <v>86724</v>
      </c>
      <c r="L236" s="22">
        <v>86589</v>
      </c>
      <c r="M236" s="22">
        <v>83463</v>
      </c>
      <c r="N236" s="22">
        <v>72866</v>
      </c>
      <c r="O236" s="22">
        <v>71439</v>
      </c>
      <c r="P236" s="29">
        <f t="shared" si="7"/>
        <v>1012800</v>
      </c>
      <c r="Q236" s="28">
        <v>-0.08</v>
      </c>
    </row>
    <row r="237" spans="1:17" ht="12.75">
      <c r="A237" s="1" t="s">
        <v>33</v>
      </c>
      <c r="B237" s="1" t="s">
        <v>39</v>
      </c>
      <c r="C237" s="29">
        <v>9382935</v>
      </c>
      <c r="D237" s="22">
        <v>481571</v>
      </c>
      <c r="E237" s="22">
        <v>523208</v>
      </c>
      <c r="F237" s="22">
        <v>666782</v>
      </c>
      <c r="G237" s="22">
        <v>900511</v>
      </c>
      <c r="H237" s="22">
        <v>945845</v>
      </c>
      <c r="I237" s="22">
        <v>1007220</v>
      </c>
      <c r="J237" s="22">
        <v>1174542</v>
      </c>
      <c r="K237" s="22">
        <v>1164950</v>
      </c>
      <c r="L237" s="22">
        <v>1050427</v>
      </c>
      <c r="M237" s="22">
        <v>989476</v>
      </c>
      <c r="N237" s="22">
        <v>543095</v>
      </c>
      <c r="O237" s="22">
        <v>466137</v>
      </c>
      <c r="P237" s="29">
        <f t="shared" si="7"/>
        <v>9913764</v>
      </c>
      <c r="Q237" s="28">
        <v>0.057</v>
      </c>
    </row>
    <row r="238" spans="1:17" ht="12.75">
      <c r="A238" s="1" t="s">
        <v>33</v>
      </c>
      <c r="B238" s="1" t="s">
        <v>66</v>
      </c>
      <c r="C238" s="29">
        <v>192712927</v>
      </c>
      <c r="D238" s="22">
        <v>12118205</v>
      </c>
      <c r="E238" s="22">
        <v>12329672</v>
      </c>
      <c r="F238" s="22">
        <v>15295410</v>
      </c>
      <c r="G238" s="22">
        <v>17374989</v>
      </c>
      <c r="H238" s="22">
        <v>17883637</v>
      </c>
      <c r="I238" s="22">
        <v>19453439</v>
      </c>
      <c r="J238" s="22">
        <v>22637115</v>
      </c>
      <c r="K238" s="22">
        <v>22849799</v>
      </c>
      <c r="L238" s="22">
        <v>20317989</v>
      </c>
      <c r="M238" s="22">
        <v>18272510</v>
      </c>
      <c r="N238" s="22">
        <v>13117710</v>
      </c>
      <c r="O238" s="22">
        <v>12722813</v>
      </c>
      <c r="P238" s="29">
        <f t="shared" si="7"/>
        <v>204373288</v>
      </c>
      <c r="Q238" s="28">
        <v>0.06</v>
      </c>
    </row>
    <row r="239" spans="1:17" ht="12.75">
      <c r="A239" s="1" t="s">
        <v>33</v>
      </c>
      <c r="B239" s="1" t="s">
        <v>58</v>
      </c>
      <c r="C239" s="29">
        <v>787259</v>
      </c>
      <c r="D239" s="22">
        <v>40845</v>
      </c>
      <c r="E239" s="22">
        <v>58964</v>
      </c>
      <c r="F239" s="22">
        <v>74589</v>
      </c>
      <c r="G239" s="22">
        <v>82071</v>
      </c>
      <c r="H239" s="22">
        <v>68772</v>
      </c>
      <c r="I239" s="22">
        <v>74228</v>
      </c>
      <c r="J239" s="22">
        <v>83183</v>
      </c>
      <c r="K239" s="22">
        <v>85934</v>
      </c>
      <c r="L239" s="22">
        <v>73059</v>
      </c>
      <c r="M239" s="22">
        <v>63576</v>
      </c>
      <c r="N239" s="22">
        <v>38548</v>
      </c>
      <c r="O239" s="22">
        <v>37091</v>
      </c>
      <c r="P239" s="29">
        <f t="shared" si="7"/>
        <v>780860</v>
      </c>
      <c r="Q239" s="28">
        <v>-0.008</v>
      </c>
    </row>
    <row r="240" spans="1:17" ht="12.75">
      <c r="A240" s="1" t="s">
        <v>33</v>
      </c>
      <c r="B240" s="1" t="s">
        <v>53</v>
      </c>
      <c r="C240" s="29">
        <v>1355364</v>
      </c>
      <c r="D240" s="22">
        <v>87800</v>
      </c>
      <c r="E240" s="22">
        <v>96058</v>
      </c>
      <c r="F240" s="22">
        <v>123915</v>
      </c>
      <c r="G240" s="22">
        <v>123355</v>
      </c>
      <c r="H240" s="22">
        <v>112242</v>
      </c>
      <c r="I240" s="22">
        <v>120546</v>
      </c>
      <c r="J240" s="22">
        <v>131359</v>
      </c>
      <c r="K240" s="22">
        <v>126515</v>
      </c>
      <c r="L240" s="22">
        <v>130346</v>
      </c>
      <c r="M240" s="22">
        <v>108259</v>
      </c>
      <c r="N240" s="22">
        <v>99592</v>
      </c>
      <c r="O240" s="22">
        <v>79023</v>
      </c>
      <c r="P240" s="29">
        <f t="shared" si="7"/>
        <v>1339010</v>
      </c>
      <c r="Q240" s="28">
        <v>-0.012</v>
      </c>
    </row>
    <row r="241" spans="1:17" s="1" customFormat="1" ht="12.75">
      <c r="A241" s="1" t="s">
        <v>33</v>
      </c>
      <c r="B241" s="1" t="s">
        <v>35</v>
      </c>
      <c r="C241" s="29">
        <v>29209595</v>
      </c>
      <c r="D241" s="22">
        <v>2006841</v>
      </c>
      <c r="E241" s="22">
        <v>2086284</v>
      </c>
      <c r="F241" s="22">
        <v>2592509</v>
      </c>
      <c r="G241" s="22">
        <v>2881116</v>
      </c>
      <c r="H241" s="22">
        <v>3072750</v>
      </c>
      <c r="I241" s="22">
        <v>3234352</v>
      </c>
      <c r="J241" s="22">
        <v>3607572</v>
      </c>
      <c r="K241" s="22">
        <v>3623889</v>
      </c>
      <c r="L241" s="22">
        <v>3338101</v>
      </c>
      <c r="M241" s="22">
        <v>3064552</v>
      </c>
      <c r="N241" s="22">
        <v>2466127</v>
      </c>
      <c r="O241" s="22">
        <v>2425087</v>
      </c>
      <c r="P241" s="29">
        <f t="shared" si="7"/>
        <v>34399180</v>
      </c>
      <c r="Q241" s="28">
        <v>0.178</v>
      </c>
    </row>
    <row r="242" spans="1:17" ht="12.75">
      <c r="A242" s="1" t="s">
        <v>33</v>
      </c>
      <c r="B242" s="1" t="s">
        <v>47</v>
      </c>
      <c r="C242" s="29">
        <v>3888969</v>
      </c>
      <c r="D242" s="22">
        <v>240380</v>
      </c>
      <c r="E242" s="22">
        <v>258193</v>
      </c>
      <c r="F242" s="22">
        <v>325558</v>
      </c>
      <c r="G242" s="22">
        <v>346129</v>
      </c>
      <c r="H242" s="22">
        <v>344750</v>
      </c>
      <c r="I242" s="22">
        <v>378786</v>
      </c>
      <c r="J242" s="22">
        <v>430817</v>
      </c>
      <c r="K242" s="22">
        <v>405763</v>
      </c>
      <c r="L242" s="22">
        <v>385904</v>
      </c>
      <c r="M242" s="22">
        <v>343962</v>
      </c>
      <c r="N242" s="22">
        <v>304498</v>
      </c>
      <c r="O242" s="22">
        <v>280873</v>
      </c>
      <c r="P242" s="29">
        <f t="shared" si="7"/>
        <v>4045613</v>
      </c>
      <c r="Q242" s="28">
        <v>0.04</v>
      </c>
    </row>
    <row r="243" spans="1:17" ht="12.75">
      <c r="A243" s="1" t="s">
        <v>33</v>
      </c>
      <c r="B243" s="1" t="s">
        <v>65</v>
      </c>
      <c r="C243" s="29">
        <v>170975</v>
      </c>
      <c r="D243" s="22">
        <v>11842</v>
      </c>
      <c r="E243" s="22">
        <v>12229</v>
      </c>
      <c r="F243" s="22">
        <v>13811</v>
      </c>
      <c r="G243" s="22">
        <v>14268</v>
      </c>
      <c r="H243" s="22">
        <v>15302</v>
      </c>
      <c r="I243" s="22">
        <v>14442</v>
      </c>
      <c r="J243" s="22">
        <v>16094</v>
      </c>
      <c r="K243" s="22">
        <v>17744</v>
      </c>
      <c r="L243" s="22">
        <v>15272</v>
      </c>
      <c r="M243" s="22">
        <v>13682</v>
      </c>
      <c r="N243" s="22">
        <v>12578</v>
      </c>
      <c r="O243" s="22">
        <v>12961</v>
      </c>
      <c r="P243" s="29">
        <f t="shared" si="7"/>
        <v>170225</v>
      </c>
      <c r="Q243" s="28">
        <v>-0.004</v>
      </c>
    </row>
    <row r="244" spans="1:17" ht="12.75">
      <c r="A244" s="1" t="s">
        <v>33</v>
      </c>
      <c r="B244" s="1" t="s">
        <v>45</v>
      </c>
      <c r="C244" s="29">
        <v>4173686</v>
      </c>
      <c r="D244" s="22">
        <v>360082</v>
      </c>
      <c r="E244" s="22">
        <v>386537</v>
      </c>
      <c r="F244" s="22">
        <v>452199</v>
      </c>
      <c r="G244" s="22">
        <v>456200</v>
      </c>
      <c r="H244" s="22">
        <v>355695</v>
      </c>
      <c r="I244" s="22">
        <v>372737</v>
      </c>
      <c r="J244" s="22">
        <v>462538</v>
      </c>
      <c r="K244" s="22">
        <v>502899</v>
      </c>
      <c r="L244" s="22">
        <v>417140</v>
      </c>
      <c r="M244" s="22">
        <v>452367</v>
      </c>
      <c r="N244" s="22">
        <v>380383</v>
      </c>
      <c r="O244" s="22">
        <v>349241</v>
      </c>
      <c r="P244" s="29">
        <f t="shared" si="7"/>
        <v>4948018</v>
      </c>
      <c r="Q244" s="28">
        <v>0.186</v>
      </c>
    </row>
    <row r="245" spans="1:17" ht="12.75">
      <c r="A245" s="1" t="s">
        <v>33</v>
      </c>
      <c r="B245" s="1" t="s">
        <v>43</v>
      </c>
      <c r="C245" s="29">
        <v>4863785</v>
      </c>
      <c r="D245" s="22">
        <v>189795</v>
      </c>
      <c r="E245" s="22">
        <v>197230</v>
      </c>
      <c r="F245" s="22">
        <v>269699</v>
      </c>
      <c r="G245" s="22">
        <v>305525</v>
      </c>
      <c r="H245" s="22">
        <v>277291</v>
      </c>
      <c r="I245" s="22">
        <v>298037</v>
      </c>
      <c r="J245" s="22">
        <v>352610</v>
      </c>
      <c r="K245" s="22">
        <v>358369</v>
      </c>
      <c r="L245" s="22">
        <v>305622</v>
      </c>
      <c r="M245" s="22">
        <v>262652</v>
      </c>
      <c r="N245" s="22">
        <v>96080</v>
      </c>
      <c r="O245" s="22">
        <v>94739</v>
      </c>
      <c r="P245" s="29">
        <f t="shared" si="7"/>
        <v>3007649</v>
      </c>
      <c r="Q245" s="28">
        <v>-0.382</v>
      </c>
    </row>
    <row r="246" spans="1:17" ht="12.75">
      <c r="A246" s="1" t="s">
        <v>33</v>
      </c>
      <c r="B246" s="1" t="s">
        <v>38</v>
      </c>
      <c r="C246" s="29">
        <v>9486035</v>
      </c>
      <c r="D246" s="22">
        <v>911413</v>
      </c>
      <c r="E246" s="22">
        <v>902461</v>
      </c>
      <c r="F246" s="22">
        <v>1025127</v>
      </c>
      <c r="G246" s="22">
        <v>930592</v>
      </c>
      <c r="H246" s="22">
        <v>707652</v>
      </c>
      <c r="I246" s="22">
        <v>725124</v>
      </c>
      <c r="J246" s="22">
        <v>853412</v>
      </c>
      <c r="K246" s="22">
        <v>883026</v>
      </c>
      <c r="L246" s="22">
        <v>760137</v>
      </c>
      <c r="M246" s="22">
        <v>897776</v>
      </c>
      <c r="N246" s="22">
        <v>949795</v>
      </c>
      <c r="O246" s="22">
        <v>992296</v>
      </c>
      <c r="P246" s="29">
        <f t="shared" si="7"/>
        <v>10538811</v>
      </c>
      <c r="Q246" s="28">
        <v>0.111</v>
      </c>
    </row>
    <row r="247" spans="1:17" ht="12.75">
      <c r="A247" s="1" t="s">
        <v>33</v>
      </c>
      <c r="B247" s="1" t="s">
        <v>54</v>
      </c>
      <c r="C247" s="29">
        <v>978107</v>
      </c>
      <c r="D247" s="22">
        <v>65289</v>
      </c>
      <c r="E247" s="22">
        <v>68689</v>
      </c>
      <c r="F247" s="22">
        <v>85010</v>
      </c>
      <c r="G247" s="22">
        <v>84892</v>
      </c>
      <c r="H247" s="22">
        <v>80606</v>
      </c>
      <c r="I247" s="22">
        <v>74454</v>
      </c>
      <c r="J247" s="22">
        <v>73110</v>
      </c>
      <c r="K247" s="22">
        <v>72085</v>
      </c>
      <c r="L247" s="22">
        <v>72267</v>
      </c>
      <c r="M247" s="22">
        <v>67998</v>
      </c>
      <c r="N247" s="22">
        <v>62780</v>
      </c>
      <c r="O247" s="22">
        <v>65582</v>
      </c>
      <c r="P247" s="29">
        <f t="shared" si="7"/>
        <v>872762</v>
      </c>
      <c r="Q247" s="28">
        <v>-0.108</v>
      </c>
    </row>
    <row r="248" spans="1:17" ht="12.75">
      <c r="A248" s="1" t="s">
        <v>33</v>
      </c>
      <c r="B248" s="1" t="s">
        <v>44</v>
      </c>
      <c r="C248" s="29">
        <v>5040800</v>
      </c>
      <c r="D248" s="22">
        <v>100214</v>
      </c>
      <c r="E248" s="22">
        <v>108292</v>
      </c>
      <c r="F248" s="22">
        <v>160674</v>
      </c>
      <c r="G248" s="22">
        <v>266241</v>
      </c>
      <c r="H248" s="22">
        <v>489254</v>
      </c>
      <c r="I248" s="22">
        <v>800374</v>
      </c>
      <c r="J248" s="22">
        <v>1068392</v>
      </c>
      <c r="K248" s="22">
        <v>1136135</v>
      </c>
      <c r="L248" s="22">
        <v>852252</v>
      </c>
      <c r="M248" s="22">
        <v>427673</v>
      </c>
      <c r="N248" s="22">
        <v>121284</v>
      </c>
      <c r="O248" s="22">
        <v>112367</v>
      </c>
      <c r="P248" s="29">
        <f t="shared" si="7"/>
        <v>5643152</v>
      </c>
      <c r="Q248" s="28">
        <v>0.119</v>
      </c>
    </row>
    <row r="249" spans="1:17" ht="12.75">
      <c r="A249" s="1" t="s">
        <v>33</v>
      </c>
      <c r="B249" s="1" t="s">
        <v>52</v>
      </c>
      <c r="C249" s="29">
        <v>1042136</v>
      </c>
      <c r="D249" s="22">
        <v>43007</v>
      </c>
      <c r="E249" s="22">
        <v>55063</v>
      </c>
      <c r="F249" s="22">
        <v>83229</v>
      </c>
      <c r="G249" s="22">
        <v>91546</v>
      </c>
      <c r="H249" s="22">
        <v>97799</v>
      </c>
      <c r="I249" s="22">
        <v>110020</v>
      </c>
      <c r="J249" s="22">
        <v>119934</v>
      </c>
      <c r="K249" s="22">
        <v>124340</v>
      </c>
      <c r="L249" s="22">
        <v>114225</v>
      </c>
      <c r="M249" s="22">
        <v>99618</v>
      </c>
      <c r="N249" s="22">
        <v>52635</v>
      </c>
      <c r="O249" s="22">
        <v>38182</v>
      </c>
      <c r="P249" s="29">
        <f t="shared" si="7"/>
        <v>1029598</v>
      </c>
      <c r="Q249" s="28">
        <v>-0.013</v>
      </c>
    </row>
    <row r="250" spans="1:17" ht="12.75">
      <c r="A250" s="1" t="s">
        <v>33</v>
      </c>
      <c r="B250" s="1" t="s">
        <v>42</v>
      </c>
      <c r="C250" s="29">
        <v>4938632</v>
      </c>
      <c r="D250" s="22">
        <v>398288</v>
      </c>
      <c r="E250" s="22">
        <v>413146</v>
      </c>
      <c r="F250" s="22">
        <v>485062</v>
      </c>
      <c r="G250" s="22">
        <v>502347</v>
      </c>
      <c r="H250" s="22">
        <v>408834</v>
      </c>
      <c r="I250" s="22">
        <v>434054</v>
      </c>
      <c r="J250" s="22">
        <v>529783</v>
      </c>
      <c r="K250" s="22">
        <v>556485</v>
      </c>
      <c r="L250" s="22">
        <v>493708</v>
      </c>
      <c r="M250" s="22">
        <v>490740</v>
      </c>
      <c r="N250" s="22">
        <v>424975</v>
      </c>
      <c r="O250" s="22">
        <v>408381</v>
      </c>
      <c r="P250" s="29">
        <f t="shared" si="7"/>
        <v>5545803</v>
      </c>
      <c r="Q250" s="28">
        <v>0.123</v>
      </c>
    </row>
    <row r="251" spans="1:17" ht="12.75">
      <c r="A251" s="1" t="s">
        <v>33</v>
      </c>
      <c r="B251" s="1" t="s">
        <v>392</v>
      </c>
      <c r="C251" s="29">
        <v>992363</v>
      </c>
      <c r="D251" s="22">
        <v>80106</v>
      </c>
      <c r="E251" s="22">
        <v>78504</v>
      </c>
      <c r="F251" s="22">
        <v>96257</v>
      </c>
      <c r="G251" s="22">
        <v>91519</v>
      </c>
      <c r="H251" s="22">
        <v>83998</v>
      </c>
      <c r="I251" s="22">
        <v>79642</v>
      </c>
      <c r="J251" s="22">
        <v>97554</v>
      </c>
      <c r="K251" s="22">
        <v>106317</v>
      </c>
      <c r="L251" s="22">
        <v>91490</v>
      </c>
      <c r="M251" s="22">
        <v>85222</v>
      </c>
      <c r="N251" s="22">
        <v>88385</v>
      </c>
      <c r="O251" s="22">
        <v>88437</v>
      </c>
      <c r="P251" s="29">
        <f t="shared" si="7"/>
        <v>1067431</v>
      </c>
      <c r="Q251" s="28">
        <v>0.076</v>
      </c>
    </row>
    <row r="252" spans="1:17" ht="12.75">
      <c r="A252" s="1" t="s">
        <v>33</v>
      </c>
      <c r="B252" s="1" t="s">
        <v>34</v>
      </c>
      <c r="C252" s="29">
        <v>49863504</v>
      </c>
      <c r="D252" s="22">
        <v>3569084</v>
      </c>
      <c r="E252" s="22">
        <v>3398505</v>
      </c>
      <c r="F252" s="22">
        <v>4043379</v>
      </c>
      <c r="G252" s="22">
        <v>4291746</v>
      </c>
      <c r="H252" s="22">
        <v>4213488</v>
      </c>
      <c r="I252" s="22">
        <v>4387934</v>
      </c>
      <c r="J252" s="22">
        <v>4897474</v>
      </c>
      <c r="K252" s="22">
        <v>4775026</v>
      </c>
      <c r="L252" s="22">
        <v>4516189</v>
      </c>
      <c r="M252" s="22">
        <v>4308154</v>
      </c>
      <c r="N252" s="22">
        <v>3635020</v>
      </c>
      <c r="O252" s="22">
        <v>3626513</v>
      </c>
      <c r="P252" s="29">
        <f t="shared" si="7"/>
        <v>49662512</v>
      </c>
      <c r="Q252" s="28">
        <v>-0.004</v>
      </c>
    </row>
    <row r="253" spans="1:17" ht="12.75">
      <c r="A253" s="1" t="s">
        <v>33</v>
      </c>
      <c r="B253" s="1" t="s">
        <v>37</v>
      </c>
      <c r="C253" s="29">
        <v>12064616</v>
      </c>
      <c r="D253" s="22">
        <v>589994</v>
      </c>
      <c r="E253" s="22">
        <v>639460</v>
      </c>
      <c r="F253" s="22">
        <v>868628</v>
      </c>
      <c r="G253" s="22">
        <v>1200742</v>
      </c>
      <c r="H253" s="22">
        <v>1240106</v>
      </c>
      <c r="I253" s="22">
        <v>1305032</v>
      </c>
      <c r="J253" s="22">
        <v>1525064</v>
      </c>
      <c r="K253" s="22">
        <v>1531787</v>
      </c>
      <c r="L253" s="22">
        <v>1374463</v>
      </c>
      <c r="M253" s="22">
        <v>1271374</v>
      </c>
      <c r="N253" s="22">
        <v>669047</v>
      </c>
      <c r="O253" s="22">
        <v>607428</v>
      </c>
      <c r="P253" s="29">
        <f t="shared" si="7"/>
        <v>12823125</v>
      </c>
      <c r="Q253" s="28">
        <v>0.063</v>
      </c>
    </row>
    <row r="254" spans="1:17" ht="12.75">
      <c r="A254" s="1" t="s">
        <v>33</v>
      </c>
      <c r="B254" s="1" t="s">
        <v>64</v>
      </c>
      <c r="C254" s="29">
        <v>292608</v>
      </c>
      <c r="D254" s="22">
        <v>21909</v>
      </c>
      <c r="E254" s="22">
        <v>20349</v>
      </c>
      <c r="F254" s="22">
        <v>23779</v>
      </c>
      <c r="G254" s="22">
        <v>26439</v>
      </c>
      <c r="H254" s="22">
        <v>23719</v>
      </c>
      <c r="I254" s="22">
        <v>24982</v>
      </c>
      <c r="J254" s="22">
        <v>26743</v>
      </c>
      <c r="K254" s="22">
        <v>20085</v>
      </c>
      <c r="L254" s="22">
        <v>22960</v>
      </c>
      <c r="M254" s="22">
        <v>24938</v>
      </c>
      <c r="N254" s="22">
        <v>24884</v>
      </c>
      <c r="O254" s="22">
        <v>25974</v>
      </c>
      <c r="P254" s="29">
        <f t="shared" si="7"/>
        <v>286761</v>
      </c>
      <c r="Q254" s="28">
        <v>-0.02</v>
      </c>
    </row>
    <row r="255" spans="1:17" ht="12.75">
      <c r="A255" s="1" t="s">
        <v>33</v>
      </c>
      <c r="B255" s="1" t="s">
        <v>49</v>
      </c>
      <c r="C255" s="29">
        <v>2511626</v>
      </c>
      <c r="D255" s="22">
        <v>57265</v>
      </c>
      <c r="E255" s="22">
        <v>66196</v>
      </c>
      <c r="F255" s="22">
        <v>84765</v>
      </c>
      <c r="G255" s="22">
        <v>106203</v>
      </c>
      <c r="H255" s="22">
        <v>218007</v>
      </c>
      <c r="I255" s="22">
        <v>353469</v>
      </c>
      <c r="J255" s="22">
        <v>496787</v>
      </c>
      <c r="K255" s="22">
        <v>540372</v>
      </c>
      <c r="L255" s="22">
        <v>366229</v>
      </c>
      <c r="M255" s="22">
        <v>159767</v>
      </c>
      <c r="N255" s="22">
        <v>65457</v>
      </c>
      <c r="O255" s="22">
        <v>61692</v>
      </c>
      <c r="P255" s="29">
        <f t="shared" si="7"/>
        <v>2576209</v>
      </c>
      <c r="Q255" s="28">
        <v>0.026</v>
      </c>
    </row>
    <row r="256" spans="1:17" ht="12.75">
      <c r="A256" s="1" t="s">
        <v>33</v>
      </c>
      <c r="B256" s="1" t="s">
        <v>51</v>
      </c>
      <c r="C256" s="29">
        <v>1349333</v>
      </c>
      <c r="D256" s="22">
        <v>29238</v>
      </c>
      <c r="E256" s="22">
        <v>31451</v>
      </c>
      <c r="F256" s="22">
        <v>57983</v>
      </c>
      <c r="G256" s="22">
        <v>126665</v>
      </c>
      <c r="H256" s="22">
        <v>138772</v>
      </c>
      <c r="I256" s="22">
        <v>158059</v>
      </c>
      <c r="J256" s="22">
        <v>179657</v>
      </c>
      <c r="K256" s="22">
        <v>183655</v>
      </c>
      <c r="L256" s="22">
        <v>161547</v>
      </c>
      <c r="M256" s="22">
        <v>130620</v>
      </c>
      <c r="N256" s="22">
        <v>36141</v>
      </c>
      <c r="O256" s="22">
        <v>28753</v>
      </c>
      <c r="P256" s="29">
        <f t="shared" si="7"/>
        <v>1262541</v>
      </c>
      <c r="Q256" s="28">
        <v>-0.064</v>
      </c>
    </row>
    <row r="257" spans="1:17" s="1" customFormat="1" ht="12.75">
      <c r="A257" s="1" t="s">
        <v>33</v>
      </c>
      <c r="B257" s="1" t="s">
        <v>36</v>
      </c>
      <c r="C257" s="29">
        <v>21117270</v>
      </c>
      <c r="D257" s="22">
        <v>683134</v>
      </c>
      <c r="E257" s="22">
        <v>729659</v>
      </c>
      <c r="F257" s="22">
        <v>1038513</v>
      </c>
      <c r="G257" s="22">
        <v>1648867</v>
      </c>
      <c r="H257" s="22">
        <v>2340974</v>
      </c>
      <c r="I257" s="22">
        <v>2839296</v>
      </c>
      <c r="J257" s="22">
        <v>3403098</v>
      </c>
      <c r="K257" s="22">
        <v>3464972</v>
      </c>
      <c r="L257" s="22">
        <v>2942895</v>
      </c>
      <c r="M257" s="22">
        <v>2220408</v>
      </c>
      <c r="N257" s="22">
        <v>751472</v>
      </c>
      <c r="O257" s="22">
        <v>663171</v>
      </c>
      <c r="P257" s="29">
        <f t="shared" si="7"/>
        <v>22726459</v>
      </c>
      <c r="Q257" s="28">
        <v>0.076</v>
      </c>
    </row>
    <row r="258" spans="1:17" ht="12.75">
      <c r="A258" s="1" t="s">
        <v>33</v>
      </c>
      <c r="B258" s="1" t="s">
        <v>62</v>
      </c>
      <c r="C258" s="29">
        <v>291264</v>
      </c>
      <c r="D258" s="22">
        <v>16320</v>
      </c>
      <c r="E258" s="22">
        <v>18094</v>
      </c>
      <c r="F258" s="22">
        <v>21927</v>
      </c>
      <c r="G258" s="22">
        <v>20623</v>
      </c>
      <c r="H258" s="22">
        <v>23945</v>
      </c>
      <c r="I258" s="22">
        <v>21403</v>
      </c>
      <c r="J258" s="22">
        <v>23335</v>
      </c>
      <c r="K258" s="22">
        <v>15040</v>
      </c>
      <c r="L258" s="22">
        <v>22034</v>
      </c>
      <c r="M258" s="22">
        <v>21335</v>
      </c>
      <c r="N258" s="22">
        <v>19508</v>
      </c>
      <c r="O258" s="22">
        <v>14816</v>
      </c>
      <c r="P258" s="29">
        <f t="shared" si="7"/>
        <v>238380</v>
      </c>
      <c r="Q258" s="28">
        <v>-0.182</v>
      </c>
    </row>
    <row r="259" spans="1:17" ht="12.75">
      <c r="A259" s="1" t="s">
        <v>33</v>
      </c>
      <c r="B259" s="1" t="s">
        <v>56</v>
      </c>
      <c r="C259" s="29">
        <v>1421341</v>
      </c>
      <c r="D259" s="22">
        <v>23793</v>
      </c>
      <c r="E259" s="22">
        <v>22557</v>
      </c>
      <c r="F259" s="22">
        <v>42998</v>
      </c>
      <c r="G259" s="22">
        <v>126120</v>
      </c>
      <c r="H259" s="22">
        <v>177195</v>
      </c>
      <c r="I259" s="22">
        <v>195105</v>
      </c>
      <c r="J259" s="22">
        <v>226128</v>
      </c>
      <c r="K259" s="22">
        <v>227923</v>
      </c>
      <c r="L259" s="22">
        <v>186407</v>
      </c>
      <c r="M259" s="22">
        <v>131735</v>
      </c>
      <c r="N259" s="22">
        <v>1917</v>
      </c>
      <c r="O259" s="22">
        <v>594</v>
      </c>
      <c r="P259" s="29">
        <f t="shared" si="7"/>
        <v>1362472</v>
      </c>
      <c r="Q259" s="28">
        <v>-0.04</v>
      </c>
    </row>
    <row r="260" spans="1:17" ht="12.75">
      <c r="A260" s="1" t="s">
        <v>33</v>
      </c>
      <c r="B260" s="1" t="s">
        <v>63</v>
      </c>
      <c r="C260" s="29">
        <v>286059</v>
      </c>
      <c r="D260" s="22">
        <v>17349</v>
      </c>
      <c r="E260" s="22">
        <v>19320</v>
      </c>
      <c r="F260" s="22">
        <v>21449</v>
      </c>
      <c r="G260" s="22">
        <v>20884</v>
      </c>
      <c r="H260" s="22">
        <v>24471</v>
      </c>
      <c r="I260" s="22">
        <v>24874</v>
      </c>
      <c r="J260" s="22">
        <v>22337</v>
      </c>
      <c r="K260" s="22">
        <v>17307</v>
      </c>
      <c r="L260" s="22">
        <v>23214</v>
      </c>
      <c r="M260" s="22">
        <v>21753</v>
      </c>
      <c r="N260" s="22">
        <v>19494</v>
      </c>
      <c r="O260" s="22">
        <v>15602</v>
      </c>
      <c r="P260" s="29">
        <f t="shared" si="7"/>
        <v>248054</v>
      </c>
      <c r="Q260" s="28">
        <v>-0.133</v>
      </c>
    </row>
    <row r="261" spans="1:17" ht="12.75">
      <c r="A261" s="1" t="s">
        <v>33</v>
      </c>
      <c r="B261" s="1" t="s">
        <v>59</v>
      </c>
      <c r="C261" s="29">
        <v>918470</v>
      </c>
      <c r="D261" s="22">
        <v>56662</v>
      </c>
      <c r="E261" s="22">
        <v>61571</v>
      </c>
      <c r="F261" s="22">
        <v>81799</v>
      </c>
      <c r="G261" s="22">
        <v>99513</v>
      </c>
      <c r="H261" s="22">
        <v>103174</v>
      </c>
      <c r="I261" s="22">
        <v>106717</v>
      </c>
      <c r="J261" s="22">
        <v>118427</v>
      </c>
      <c r="K261" s="22">
        <v>114782</v>
      </c>
      <c r="L261" s="22">
        <v>108792</v>
      </c>
      <c r="M261" s="22">
        <v>106345</v>
      </c>
      <c r="N261" s="22">
        <v>78195</v>
      </c>
      <c r="O261" s="22">
        <v>80421</v>
      </c>
      <c r="P261" s="29">
        <f t="shared" si="7"/>
        <v>1116398</v>
      </c>
      <c r="Q261" s="28">
        <v>0.214</v>
      </c>
    </row>
    <row r="262" spans="1:17" ht="12.75">
      <c r="A262" s="1" t="s">
        <v>33</v>
      </c>
      <c r="B262" s="1" t="s">
        <v>50</v>
      </c>
      <c r="C262" s="29">
        <v>2172869</v>
      </c>
      <c r="D262" s="22">
        <v>148050</v>
      </c>
      <c r="E262" s="22">
        <v>147012</v>
      </c>
      <c r="F262" s="22">
        <v>197130</v>
      </c>
      <c r="G262" s="22">
        <v>230216</v>
      </c>
      <c r="H262" s="22">
        <v>212364</v>
      </c>
      <c r="I262" s="22">
        <v>218311</v>
      </c>
      <c r="J262" s="22">
        <v>257470</v>
      </c>
      <c r="K262" s="22">
        <v>267030</v>
      </c>
      <c r="L262" s="22">
        <v>238030</v>
      </c>
      <c r="M262" s="22">
        <v>214020</v>
      </c>
      <c r="N262" s="22">
        <v>169689</v>
      </c>
      <c r="O262" s="22">
        <v>165109</v>
      </c>
      <c r="P262" s="29">
        <f t="shared" si="7"/>
        <v>2464431</v>
      </c>
      <c r="Q262" s="28">
        <v>0.134</v>
      </c>
    </row>
    <row r="263" spans="1:17" ht="12.75">
      <c r="A263" s="1" t="s">
        <v>33</v>
      </c>
      <c r="B263" s="1" t="s">
        <v>46</v>
      </c>
      <c r="C263" s="29">
        <v>4224718</v>
      </c>
      <c r="D263" s="22">
        <v>308230</v>
      </c>
      <c r="E263" s="22">
        <v>335494</v>
      </c>
      <c r="F263" s="22">
        <v>446572</v>
      </c>
      <c r="G263" s="22">
        <v>457803</v>
      </c>
      <c r="H263" s="22">
        <v>461462</v>
      </c>
      <c r="I263" s="22">
        <v>422894</v>
      </c>
      <c r="J263" s="22">
        <v>477867</v>
      </c>
      <c r="K263" s="22">
        <v>480877</v>
      </c>
      <c r="L263" s="22">
        <v>455072</v>
      </c>
      <c r="M263" s="22">
        <v>443355</v>
      </c>
      <c r="N263" s="22">
        <v>339030</v>
      </c>
      <c r="O263" s="22">
        <v>330709</v>
      </c>
      <c r="P263" s="29">
        <f t="shared" si="7"/>
        <v>4959365</v>
      </c>
      <c r="Q263" s="28">
        <v>0.174</v>
      </c>
    </row>
    <row r="264" spans="1:17" ht="12.75">
      <c r="A264" s="1" t="s">
        <v>33</v>
      </c>
      <c r="B264" s="1" t="s">
        <v>48</v>
      </c>
      <c r="C264" s="29">
        <v>4051155</v>
      </c>
      <c r="D264" s="22">
        <v>304330</v>
      </c>
      <c r="E264" s="22">
        <v>288735</v>
      </c>
      <c r="F264" s="22">
        <v>336492</v>
      </c>
      <c r="G264" s="22">
        <v>340277</v>
      </c>
      <c r="H264" s="22">
        <v>329782</v>
      </c>
      <c r="I264" s="22">
        <v>341524</v>
      </c>
      <c r="J264" s="22">
        <v>389643</v>
      </c>
      <c r="K264" s="22">
        <v>404526</v>
      </c>
      <c r="L264" s="22">
        <v>364247</v>
      </c>
      <c r="M264" s="22">
        <v>340560</v>
      </c>
      <c r="N264" s="22">
        <v>314234</v>
      </c>
      <c r="O264" s="22">
        <v>340753</v>
      </c>
      <c r="P264" s="29">
        <f t="shared" si="7"/>
        <v>4095103</v>
      </c>
      <c r="Q264" s="28">
        <v>0.011</v>
      </c>
    </row>
    <row r="265" spans="1:17" ht="12.75">
      <c r="A265" s="1" t="s">
        <v>33</v>
      </c>
      <c r="B265" s="1" t="s">
        <v>40</v>
      </c>
      <c r="C265" s="29">
        <v>7359150</v>
      </c>
      <c r="D265" s="22">
        <v>718179</v>
      </c>
      <c r="E265" s="22">
        <v>717754</v>
      </c>
      <c r="F265" s="22">
        <v>837057</v>
      </c>
      <c r="G265" s="22">
        <v>834409</v>
      </c>
      <c r="H265" s="22">
        <v>560201</v>
      </c>
      <c r="I265" s="22">
        <v>571407</v>
      </c>
      <c r="J265" s="22">
        <v>709554</v>
      </c>
      <c r="K265" s="22">
        <v>732739</v>
      </c>
      <c r="L265" s="22">
        <v>656667</v>
      </c>
      <c r="M265" s="22">
        <v>784342</v>
      </c>
      <c r="N265" s="22">
        <v>782895</v>
      </c>
      <c r="O265" s="22">
        <v>751276</v>
      </c>
      <c r="P265" s="29">
        <f t="shared" si="7"/>
        <v>8656480</v>
      </c>
      <c r="Q265" s="28">
        <v>0.176</v>
      </c>
    </row>
    <row r="266" spans="1:17" ht="12.75">
      <c r="A266" s="1" t="s">
        <v>33</v>
      </c>
      <c r="B266" s="1" t="s">
        <v>41</v>
      </c>
      <c r="C266" s="29">
        <v>4934272</v>
      </c>
      <c r="D266" s="22">
        <v>318455</v>
      </c>
      <c r="E266" s="22">
        <v>330175</v>
      </c>
      <c r="F266" s="22">
        <v>421851</v>
      </c>
      <c r="G266" s="22">
        <v>436974</v>
      </c>
      <c r="H266" s="22">
        <v>426354</v>
      </c>
      <c r="I266" s="22">
        <v>445970</v>
      </c>
      <c r="J266" s="22">
        <v>525063</v>
      </c>
      <c r="K266" s="22">
        <v>550247</v>
      </c>
      <c r="L266" s="22">
        <v>465588</v>
      </c>
      <c r="M266" s="22">
        <v>422502</v>
      </c>
      <c r="N266" s="22">
        <v>319450</v>
      </c>
      <c r="O266" s="22">
        <v>317000</v>
      </c>
      <c r="P266" s="29">
        <f t="shared" si="7"/>
        <v>4979629</v>
      </c>
      <c r="Q266" s="28">
        <v>0.009</v>
      </c>
    </row>
    <row r="267" spans="1:17" ht="12.75">
      <c r="A267" s="1" t="s">
        <v>33</v>
      </c>
      <c r="B267" s="1" t="s">
        <v>60</v>
      </c>
      <c r="C267" s="29">
        <v>392683</v>
      </c>
      <c r="D267" s="22">
        <v>20993</v>
      </c>
      <c r="E267" s="22">
        <v>28069</v>
      </c>
      <c r="F267" s="22">
        <v>39587</v>
      </c>
      <c r="G267" s="22">
        <v>44990</v>
      </c>
      <c r="H267" s="22">
        <v>46598</v>
      </c>
      <c r="I267" s="22">
        <v>40055</v>
      </c>
      <c r="J267" s="22">
        <v>46507</v>
      </c>
      <c r="K267" s="22">
        <v>48558</v>
      </c>
      <c r="L267" s="22">
        <v>42671</v>
      </c>
      <c r="M267" s="22">
        <v>46556</v>
      </c>
      <c r="N267" s="22">
        <v>30031</v>
      </c>
      <c r="O267" s="22">
        <v>27862</v>
      </c>
      <c r="P267" s="29">
        <f t="shared" si="7"/>
        <v>462477</v>
      </c>
      <c r="Q267" s="28">
        <v>0.178</v>
      </c>
    </row>
    <row r="268" spans="1:17" ht="12.75">
      <c r="A268" s="1" t="s">
        <v>33</v>
      </c>
      <c r="B268" s="1" t="s">
        <v>55</v>
      </c>
      <c r="C268" s="29">
        <v>1093571</v>
      </c>
      <c r="D268" s="22">
        <v>72206</v>
      </c>
      <c r="E268" s="22">
        <v>69733</v>
      </c>
      <c r="F268" s="22">
        <v>81444</v>
      </c>
      <c r="G268" s="22">
        <v>83879</v>
      </c>
      <c r="H268" s="22">
        <v>93227</v>
      </c>
      <c r="I268" s="22">
        <v>89568</v>
      </c>
      <c r="J268" s="22">
        <v>95275</v>
      </c>
      <c r="K268" s="22">
        <v>92728</v>
      </c>
      <c r="L268" s="22">
        <v>84531</v>
      </c>
      <c r="M268" s="22">
        <v>79499</v>
      </c>
      <c r="N268" s="22">
        <v>68054</v>
      </c>
      <c r="O268" s="22">
        <v>66008</v>
      </c>
      <c r="P268" s="29">
        <f t="shared" si="7"/>
        <v>976152</v>
      </c>
      <c r="Q268" s="28">
        <v>-0.107</v>
      </c>
    </row>
    <row r="269" spans="1:17" ht="12.75">
      <c r="A269" s="1" t="s">
        <v>33</v>
      </c>
      <c r="B269" s="1" t="s">
        <v>61</v>
      </c>
      <c r="C269" s="29">
        <v>605912</v>
      </c>
      <c r="D269" s="22">
        <v>44184</v>
      </c>
      <c r="E269" s="22">
        <v>52325</v>
      </c>
      <c r="F269" s="22">
        <v>65875</v>
      </c>
      <c r="G269" s="22">
        <v>73371</v>
      </c>
      <c r="H269" s="22">
        <v>62873</v>
      </c>
      <c r="I269" s="22">
        <v>63059</v>
      </c>
      <c r="J269" s="22">
        <v>79034</v>
      </c>
      <c r="K269" s="22">
        <v>84167</v>
      </c>
      <c r="L269" s="22">
        <v>65237</v>
      </c>
      <c r="M269" s="22">
        <v>62785</v>
      </c>
      <c r="N269" s="22">
        <v>48744</v>
      </c>
      <c r="O269" s="22">
        <v>49443</v>
      </c>
      <c r="P269" s="29">
        <f t="shared" si="7"/>
        <v>751097</v>
      </c>
      <c r="Q269" s="28">
        <v>0.24</v>
      </c>
    </row>
    <row r="270" spans="1:17" ht="12.75">
      <c r="A270" s="1" t="s">
        <v>165</v>
      </c>
      <c r="B270" s="6" t="s">
        <v>332</v>
      </c>
      <c r="C270" s="29">
        <v>28484333</v>
      </c>
      <c r="D270" s="22">
        <v>2151720</v>
      </c>
      <c r="E270" s="22">
        <v>2197382</v>
      </c>
      <c r="F270" s="22">
        <v>2626992</v>
      </c>
      <c r="G270" s="22">
        <v>2527759</v>
      </c>
      <c r="H270" s="22">
        <v>2956935</v>
      </c>
      <c r="I270" s="22">
        <v>2879407</v>
      </c>
      <c r="J270" s="22">
        <v>2605623</v>
      </c>
      <c r="K270" s="22">
        <v>2713817</v>
      </c>
      <c r="L270" s="22">
        <v>2975856</v>
      </c>
      <c r="M270" s="22">
        <v>2907957</v>
      </c>
      <c r="N270" s="22">
        <v>2680451</v>
      </c>
      <c r="O270" s="22">
        <v>2403430</v>
      </c>
      <c r="P270" s="29">
        <f t="shared" si="7"/>
        <v>31627329</v>
      </c>
      <c r="Q270" s="28">
        <v>0.13</v>
      </c>
    </row>
    <row r="271" spans="1:17" ht="12.75">
      <c r="A271" s="1" t="s">
        <v>165</v>
      </c>
      <c r="B271" s="6" t="s">
        <v>190</v>
      </c>
      <c r="C271" s="29">
        <v>375694</v>
      </c>
      <c r="D271" s="22">
        <v>25319</v>
      </c>
      <c r="E271" s="22">
        <v>30446</v>
      </c>
      <c r="F271" s="22">
        <v>35595</v>
      </c>
      <c r="G271" s="22">
        <v>29513</v>
      </c>
      <c r="H271" s="22">
        <v>40449</v>
      </c>
      <c r="I271" s="22">
        <v>32592</v>
      </c>
      <c r="J271" s="22">
        <v>27648</v>
      </c>
      <c r="K271" s="22">
        <v>32883</v>
      </c>
      <c r="L271" s="22">
        <v>36513</v>
      </c>
      <c r="M271" s="22">
        <v>38080</v>
      </c>
      <c r="N271" s="22">
        <v>36589</v>
      </c>
      <c r="O271" s="22">
        <v>31130</v>
      </c>
      <c r="P271" s="29">
        <f t="shared" si="7"/>
        <v>396757</v>
      </c>
      <c r="Q271" s="28">
        <f aca="true" t="shared" si="8" ref="Q271:Q286">P271/C271-1</f>
        <v>0.05606424377285779</v>
      </c>
    </row>
    <row r="272" spans="1:17" ht="12.75">
      <c r="A272" s="1" t="s">
        <v>165</v>
      </c>
      <c r="B272" s="6" t="s">
        <v>323</v>
      </c>
      <c r="C272" s="29">
        <v>713018</v>
      </c>
      <c r="D272" s="22">
        <v>43459</v>
      </c>
      <c r="E272" s="22">
        <v>48420</v>
      </c>
      <c r="F272" s="22">
        <v>60771</v>
      </c>
      <c r="G272" s="22">
        <v>74474</v>
      </c>
      <c r="H272" s="22">
        <v>72424</v>
      </c>
      <c r="I272" s="22">
        <v>78800</v>
      </c>
      <c r="J272" s="22">
        <v>88547</v>
      </c>
      <c r="K272" s="22">
        <v>79048</v>
      </c>
      <c r="L272" s="22">
        <v>68251</v>
      </c>
      <c r="M272" s="22">
        <v>69447</v>
      </c>
      <c r="N272" s="22">
        <v>45239</v>
      </c>
      <c r="O272" s="22">
        <v>43789</v>
      </c>
      <c r="P272" s="29">
        <f t="shared" si="7"/>
        <v>772669</v>
      </c>
      <c r="Q272" s="28">
        <f t="shared" si="8"/>
        <v>0.08365987955423293</v>
      </c>
    </row>
    <row r="273" spans="1:17" s="1" customFormat="1" ht="12.75">
      <c r="A273" s="1" t="s">
        <v>165</v>
      </c>
      <c r="B273" s="6" t="s">
        <v>179</v>
      </c>
      <c r="C273" s="29">
        <v>4133874</v>
      </c>
      <c r="D273" s="22">
        <v>326372</v>
      </c>
      <c r="E273" s="22">
        <v>322828</v>
      </c>
      <c r="F273" s="22">
        <v>382858</v>
      </c>
      <c r="G273" s="22">
        <v>388012</v>
      </c>
      <c r="H273" s="22">
        <v>445503</v>
      </c>
      <c r="I273" s="22">
        <v>471256</v>
      </c>
      <c r="J273" s="22">
        <v>442867</v>
      </c>
      <c r="K273" s="22">
        <v>426438</v>
      </c>
      <c r="L273" s="22">
        <v>480912</v>
      </c>
      <c r="M273" s="22">
        <v>443016</v>
      </c>
      <c r="N273" s="22">
        <v>407948</v>
      </c>
      <c r="O273" s="22">
        <v>368629</v>
      </c>
      <c r="P273" s="29">
        <f t="shared" si="7"/>
        <v>4906639</v>
      </c>
      <c r="Q273" s="28">
        <f t="shared" si="8"/>
        <v>0.18693482191281108</v>
      </c>
    </row>
    <row r="274" spans="1:17" ht="12.75">
      <c r="A274" s="1" t="s">
        <v>165</v>
      </c>
      <c r="B274" s="6" t="s">
        <v>180</v>
      </c>
      <c r="C274" s="29">
        <v>199695</v>
      </c>
      <c r="D274" s="22">
        <v>13377</v>
      </c>
      <c r="E274" s="22">
        <v>15096</v>
      </c>
      <c r="F274" s="22">
        <v>16593</v>
      </c>
      <c r="G274" s="22">
        <v>13997</v>
      </c>
      <c r="H274" s="22">
        <v>12284</v>
      </c>
      <c r="I274" s="22">
        <v>11779</v>
      </c>
      <c r="J274" s="22">
        <v>15552</v>
      </c>
      <c r="K274" s="22">
        <v>16345</v>
      </c>
      <c r="L274" s="22">
        <v>11764</v>
      </c>
      <c r="M274" s="22">
        <v>11603</v>
      </c>
      <c r="N274" s="22">
        <v>11454</v>
      </c>
      <c r="O274" s="22">
        <v>14259</v>
      </c>
      <c r="P274" s="29">
        <f t="shared" si="7"/>
        <v>164103</v>
      </c>
      <c r="Q274" s="28">
        <f t="shared" si="8"/>
        <v>-0.17823180350033807</v>
      </c>
    </row>
    <row r="275" spans="1:17" ht="12.75">
      <c r="A275" s="1" t="s">
        <v>165</v>
      </c>
      <c r="B275" s="6" t="s">
        <v>181</v>
      </c>
      <c r="C275" s="29">
        <v>983154</v>
      </c>
      <c r="D275" s="22">
        <v>69831</v>
      </c>
      <c r="E275" s="22">
        <v>76395</v>
      </c>
      <c r="F275" s="22">
        <v>91856</v>
      </c>
      <c r="G275" s="22">
        <v>85970</v>
      </c>
      <c r="H275" s="22">
        <v>106698</v>
      </c>
      <c r="I275" s="22">
        <v>94449</v>
      </c>
      <c r="J275" s="22">
        <v>73493</v>
      </c>
      <c r="K275" s="22">
        <v>85190</v>
      </c>
      <c r="L275" s="22">
        <v>97864</v>
      </c>
      <c r="M275" s="22">
        <v>100183</v>
      </c>
      <c r="N275" s="22">
        <v>96280</v>
      </c>
      <c r="O275" s="22">
        <v>88339</v>
      </c>
      <c r="P275" s="29">
        <f t="shared" si="7"/>
        <v>1066548</v>
      </c>
      <c r="Q275" s="28">
        <f t="shared" si="8"/>
        <v>0.08482292702872596</v>
      </c>
    </row>
    <row r="276" spans="1:17" ht="12.75">
      <c r="A276" s="1" t="s">
        <v>165</v>
      </c>
      <c r="B276" s="6" t="s">
        <v>182</v>
      </c>
      <c r="C276" s="29">
        <v>1598758</v>
      </c>
      <c r="D276" s="22">
        <v>128316</v>
      </c>
      <c r="E276" s="22">
        <v>127526</v>
      </c>
      <c r="F276" s="22">
        <v>152019</v>
      </c>
      <c r="G276" s="22">
        <v>150098</v>
      </c>
      <c r="H276" s="22">
        <v>190324</v>
      </c>
      <c r="I276" s="22">
        <v>168677</v>
      </c>
      <c r="J276" s="22">
        <v>146002</v>
      </c>
      <c r="K276" s="22">
        <v>172251</v>
      </c>
      <c r="L276" s="22">
        <v>200484</v>
      </c>
      <c r="M276" s="22">
        <v>182729</v>
      </c>
      <c r="N276" s="22">
        <v>172849</v>
      </c>
      <c r="O276" s="22">
        <v>154784</v>
      </c>
      <c r="P276" s="29">
        <f t="shared" si="7"/>
        <v>1946059</v>
      </c>
      <c r="Q276" s="28">
        <f t="shared" si="8"/>
        <v>0.2172317511468278</v>
      </c>
    </row>
    <row r="277" spans="1:17" ht="12.75">
      <c r="A277" s="1" t="s">
        <v>165</v>
      </c>
      <c r="B277" s="6" t="s">
        <v>189</v>
      </c>
      <c r="C277" s="29">
        <v>356093</v>
      </c>
      <c r="D277" s="22">
        <v>29773</v>
      </c>
      <c r="E277" s="22">
        <v>37375</v>
      </c>
      <c r="F277" s="22">
        <v>42084</v>
      </c>
      <c r="G277" s="22">
        <v>34520</v>
      </c>
      <c r="H277" s="22">
        <v>34350</v>
      </c>
      <c r="I277" s="22">
        <v>26603</v>
      </c>
      <c r="J277" s="22">
        <v>15199</v>
      </c>
      <c r="K277" s="22">
        <v>22641</v>
      </c>
      <c r="L277" s="22">
        <v>35322</v>
      </c>
      <c r="M277" s="22">
        <v>36343</v>
      </c>
      <c r="N277" s="22">
        <v>33631</v>
      </c>
      <c r="O277" s="22">
        <v>29865</v>
      </c>
      <c r="P277" s="29">
        <f t="shared" si="7"/>
        <v>377706</v>
      </c>
      <c r="Q277" s="28">
        <f t="shared" si="8"/>
        <v>0.060694818488428615</v>
      </c>
    </row>
    <row r="278" spans="1:17" ht="12.75">
      <c r="A278" s="1" t="s">
        <v>165</v>
      </c>
      <c r="B278" s="6" t="s">
        <v>183</v>
      </c>
      <c r="C278" s="29">
        <v>208200</v>
      </c>
      <c r="D278" s="22">
        <v>16702</v>
      </c>
      <c r="E278" s="22">
        <v>17765</v>
      </c>
      <c r="F278" s="22">
        <v>21179</v>
      </c>
      <c r="G278" s="22">
        <v>18919</v>
      </c>
      <c r="H278" s="22">
        <v>23117</v>
      </c>
      <c r="I278" s="22">
        <v>17828</v>
      </c>
      <c r="J278" s="22">
        <v>9625</v>
      </c>
      <c r="K278" s="22">
        <v>14909</v>
      </c>
      <c r="L278" s="22">
        <v>23361</v>
      </c>
      <c r="M278" s="22">
        <v>22829</v>
      </c>
      <c r="N278" s="22">
        <v>22638</v>
      </c>
      <c r="O278" s="22">
        <v>18076</v>
      </c>
      <c r="P278" s="29">
        <f t="shared" si="7"/>
        <v>226948</v>
      </c>
      <c r="Q278" s="28">
        <f t="shared" si="8"/>
        <v>0.09004803073967338</v>
      </c>
    </row>
    <row r="279" spans="1:17" ht="12.75">
      <c r="A279" s="1" t="s">
        <v>165</v>
      </c>
      <c r="B279" s="6" t="s">
        <v>184</v>
      </c>
      <c r="C279" s="29">
        <v>224477</v>
      </c>
      <c r="D279" s="22">
        <v>15650</v>
      </c>
      <c r="E279" s="22">
        <v>16956</v>
      </c>
      <c r="F279" s="22">
        <v>22274</v>
      </c>
      <c r="G279" s="22">
        <v>22806</v>
      </c>
      <c r="H279" s="22">
        <v>28523</v>
      </c>
      <c r="I279" s="22">
        <v>25495</v>
      </c>
      <c r="J279" s="22">
        <v>19997</v>
      </c>
      <c r="K279" s="22">
        <v>22932</v>
      </c>
      <c r="L279" s="22">
        <v>29486</v>
      </c>
      <c r="M279" s="22">
        <v>28374</v>
      </c>
      <c r="N279" s="22">
        <v>23780</v>
      </c>
      <c r="O279" s="22">
        <v>21683</v>
      </c>
      <c r="P279" s="29">
        <f t="shared" si="7"/>
        <v>277956</v>
      </c>
      <c r="Q279" s="28">
        <f t="shared" si="8"/>
        <v>0.23823821594194516</v>
      </c>
    </row>
    <row r="280" spans="1:17" ht="12.75">
      <c r="A280" s="1" t="s">
        <v>165</v>
      </c>
      <c r="B280" s="6" t="s">
        <v>166</v>
      </c>
      <c r="C280" s="29">
        <v>16964396</v>
      </c>
      <c r="D280" s="22">
        <v>1282489</v>
      </c>
      <c r="E280" s="22">
        <v>1283930</v>
      </c>
      <c r="F280" s="22">
        <v>1542461</v>
      </c>
      <c r="G280" s="22">
        <v>1532135</v>
      </c>
      <c r="H280" s="22">
        <v>1756014</v>
      </c>
      <c r="I280" s="22">
        <v>1774443</v>
      </c>
      <c r="J280" s="22">
        <v>1674960</v>
      </c>
      <c r="K280" s="22">
        <v>1692417</v>
      </c>
      <c r="L280" s="22">
        <v>1765879</v>
      </c>
      <c r="M280" s="22">
        <v>1747101</v>
      </c>
      <c r="N280" s="22">
        <v>1579371</v>
      </c>
      <c r="O280" s="22">
        <v>1433444</v>
      </c>
      <c r="P280" s="29">
        <f t="shared" si="7"/>
        <v>19064644</v>
      </c>
      <c r="Q280" s="28">
        <f t="shared" si="8"/>
        <v>0.12380328777988914</v>
      </c>
    </row>
    <row r="281" spans="1:17" ht="12.75">
      <c r="A281" s="1" t="s">
        <v>165</v>
      </c>
      <c r="B281" s="6" t="s">
        <v>185</v>
      </c>
      <c r="C281" s="29">
        <v>2040097</v>
      </c>
      <c r="D281" s="22">
        <v>151606</v>
      </c>
      <c r="E281" s="22">
        <v>169773</v>
      </c>
      <c r="F281" s="22">
        <v>202231</v>
      </c>
      <c r="G281" s="22">
        <v>178848</v>
      </c>
      <c r="H281" s="22">
        <v>229260</v>
      </c>
      <c r="I281" s="22">
        <v>176455</v>
      </c>
      <c r="J281" s="22">
        <v>106399</v>
      </c>
      <c r="K281" s="22">
        <v>155180</v>
      </c>
      <c r="L281" s="22">
        <v>213155</v>
      </c>
      <c r="M281" s="22">
        <v>213093</v>
      </c>
      <c r="N281" s="22">
        <v>214018</v>
      </c>
      <c r="O281" s="22">
        <v>173867</v>
      </c>
      <c r="P281" s="29">
        <f t="shared" si="7"/>
        <v>2183885</v>
      </c>
      <c r="Q281" s="28">
        <f t="shared" si="8"/>
        <v>0.07048096242482593</v>
      </c>
    </row>
    <row r="282" spans="1:17" ht="12.75">
      <c r="A282" s="1" t="s">
        <v>165</v>
      </c>
      <c r="B282" s="6" t="s">
        <v>191</v>
      </c>
      <c r="C282" s="29">
        <v>2489975</v>
      </c>
      <c r="D282" s="22">
        <v>142627</v>
      </c>
      <c r="E282" s="22">
        <v>134513</v>
      </c>
      <c r="F282" s="22">
        <v>183423</v>
      </c>
      <c r="G282" s="22">
        <v>248713</v>
      </c>
      <c r="H282" s="22">
        <v>252182</v>
      </c>
      <c r="I282" s="22">
        <v>268102</v>
      </c>
      <c r="J282" s="22">
        <v>300911</v>
      </c>
      <c r="K282" s="22">
        <v>275576</v>
      </c>
      <c r="L282" s="22">
        <v>243008</v>
      </c>
      <c r="M282" s="22">
        <v>245111</v>
      </c>
      <c r="N282" s="22">
        <v>144759</v>
      </c>
      <c r="O282" s="22">
        <v>144198</v>
      </c>
      <c r="P282" s="29">
        <v>2581639</v>
      </c>
      <c r="Q282" s="28">
        <f t="shared" si="8"/>
        <v>0.036813221016275266</v>
      </c>
    </row>
    <row r="283" spans="1:17" ht="12.75">
      <c r="A283" s="1" t="s">
        <v>165</v>
      </c>
      <c r="B283" s="6" t="s">
        <v>186</v>
      </c>
      <c r="C283" s="29">
        <v>256166</v>
      </c>
      <c r="D283" s="22">
        <v>18953</v>
      </c>
      <c r="E283" s="22">
        <v>22902</v>
      </c>
      <c r="F283" s="22">
        <v>26865</v>
      </c>
      <c r="G283" s="22">
        <v>21771</v>
      </c>
      <c r="H283" s="22">
        <v>33227</v>
      </c>
      <c r="I283" s="22">
        <v>22555</v>
      </c>
      <c r="J283" s="22">
        <v>6552</v>
      </c>
      <c r="K283" s="22">
        <v>18832</v>
      </c>
      <c r="L283" s="22">
        <v>30443</v>
      </c>
      <c r="M283" s="22">
        <v>30521</v>
      </c>
      <c r="N283" s="22">
        <v>28873</v>
      </c>
      <c r="O283" s="22">
        <v>20634</v>
      </c>
      <c r="P283" s="29">
        <f t="shared" si="7"/>
        <v>282128</v>
      </c>
      <c r="Q283" s="28">
        <f t="shared" si="8"/>
        <v>0.10134834443290686</v>
      </c>
    </row>
    <row r="284" spans="1:17" ht="12.75">
      <c r="A284" s="1" t="s">
        <v>165</v>
      </c>
      <c r="B284" s="6" t="s">
        <v>187</v>
      </c>
      <c r="C284" s="29">
        <v>844097</v>
      </c>
      <c r="D284" s="22">
        <v>64989</v>
      </c>
      <c r="E284" s="22">
        <v>66361</v>
      </c>
      <c r="F284" s="22">
        <v>80954</v>
      </c>
      <c r="G284" s="22">
        <v>78247</v>
      </c>
      <c r="H284" s="22">
        <v>95047</v>
      </c>
      <c r="I284" s="22">
        <v>82848</v>
      </c>
      <c r="J284" s="22">
        <v>63781</v>
      </c>
      <c r="K284" s="22">
        <v>71900</v>
      </c>
      <c r="L284" s="22">
        <v>87962</v>
      </c>
      <c r="M284" s="22">
        <v>92466</v>
      </c>
      <c r="N284" s="22">
        <v>89140</v>
      </c>
      <c r="O284" s="22">
        <v>80780</v>
      </c>
      <c r="P284" s="29">
        <f t="shared" si="7"/>
        <v>954475</v>
      </c>
      <c r="Q284" s="28">
        <f t="shared" si="8"/>
        <v>0.1307645922210363</v>
      </c>
    </row>
    <row r="285" spans="1:17" ht="12.75">
      <c r="A285" s="1" t="s">
        <v>165</v>
      </c>
      <c r="B285" s="6" t="s">
        <v>188</v>
      </c>
      <c r="C285" s="29">
        <v>307899</v>
      </c>
      <c r="D285" s="22">
        <v>17606</v>
      </c>
      <c r="E285" s="22">
        <v>19625</v>
      </c>
      <c r="F285" s="22">
        <v>23709</v>
      </c>
      <c r="G285" s="22">
        <v>25242</v>
      </c>
      <c r="H285" s="22">
        <v>31111</v>
      </c>
      <c r="I285" s="22">
        <v>32514</v>
      </c>
      <c r="J285" s="22">
        <v>51193</v>
      </c>
      <c r="K285" s="22">
        <v>37714</v>
      </c>
      <c r="L285" s="22">
        <v>28710</v>
      </c>
      <c r="M285" s="22">
        <v>28073</v>
      </c>
      <c r="N285" s="22">
        <v>24339</v>
      </c>
      <c r="O285" s="22">
        <v>20353</v>
      </c>
      <c r="P285" s="29">
        <f t="shared" si="7"/>
        <v>340189</v>
      </c>
      <c r="Q285" s="28">
        <f t="shared" si="8"/>
        <v>0.10487205219893547</v>
      </c>
    </row>
    <row r="286" spans="1:17" ht="12.75">
      <c r="A286" s="1" t="s">
        <v>79</v>
      </c>
      <c r="B286" s="1" t="s">
        <v>73</v>
      </c>
      <c r="C286" s="29">
        <v>4129186</v>
      </c>
      <c r="D286" s="22">
        <v>229832</v>
      </c>
      <c r="E286" s="22">
        <v>294421</v>
      </c>
      <c r="F286" s="22">
        <v>367615</v>
      </c>
      <c r="G286" s="22">
        <v>413610</v>
      </c>
      <c r="H286" s="22">
        <v>443943</v>
      </c>
      <c r="I286" s="22">
        <v>483884</v>
      </c>
      <c r="J286" s="22">
        <v>532944</v>
      </c>
      <c r="K286" s="22">
        <v>503479</v>
      </c>
      <c r="L286" s="22">
        <v>490902</v>
      </c>
      <c r="M286" s="22">
        <v>498270</v>
      </c>
      <c r="N286" s="22">
        <v>354119</v>
      </c>
      <c r="O286" s="22">
        <v>368782</v>
      </c>
      <c r="P286" s="29">
        <v>5053649</v>
      </c>
      <c r="Q286" s="28">
        <f t="shared" si="8"/>
        <v>0.22388504659271824</v>
      </c>
    </row>
    <row r="287" spans="1:17" ht="12.75">
      <c r="A287" s="1" t="s">
        <v>79</v>
      </c>
      <c r="B287" s="6" t="s">
        <v>218</v>
      </c>
      <c r="C287" s="29">
        <v>11864736</v>
      </c>
      <c r="D287" s="22">
        <v>1164953</v>
      </c>
      <c r="E287" s="22">
        <v>1098793</v>
      </c>
      <c r="F287" s="22">
        <v>1240222</v>
      </c>
      <c r="G287" s="22">
        <v>1109060</v>
      </c>
      <c r="H287" s="22">
        <v>1002493</v>
      </c>
      <c r="I287" s="22">
        <v>1071884</v>
      </c>
      <c r="J287" s="22">
        <v>1245008</v>
      </c>
      <c r="K287" s="22">
        <v>1133405</v>
      </c>
      <c r="L287" s="22">
        <v>1056905</v>
      </c>
      <c r="M287" s="22">
        <v>1077036</v>
      </c>
      <c r="N287" s="22">
        <v>825920</v>
      </c>
      <c r="O287" s="22">
        <v>1086062</v>
      </c>
      <c r="P287" s="29">
        <f t="shared" si="7"/>
        <v>13111741</v>
      </c>
      <c r="Q287" s="28">
        <v>0.1051</v>
      </c>
    </row>
    <row r="288" spans="1:17" ht="12.75">
      <c r="A288" s="1" t="s">
        <v>79</v>
      </c>
      <c r="B288" s="6" t="s">
        <v>155</v>
      </c>
      <c r="C288" s="29">
        <v>22878251</v>
      </c>
      <c r="D288" s="22">
        <v>1690516</v>
      </c>
      <c r="E288" s="22">
        <v>1623274</v>
      </c>
      <c r="F288" s="22">
        <v>1878814</v>
      </c>
      <c r="G288" s="22">
        <v>2020707</v>
      </c>
      <c r="H288" s="22">
        <v>2104190</v>
      </c>
      <c r="I288" s="22">
        <v>2139830</v>
      </c>
      <c r="J288" s="22">
        <v>2451404</v>
      </c>
      <c r="K288" s="22">
        <v>2321023</v>
      </c>
      <c r="L288" s="22">
        <v>2225584</v>
      </c>
      <c r="M288" s="22">
        <v>2280400</v>
      </c>
      <c r="N288" s="22">
        <v>1798174</v>
      </c>
      <c r="O288" s="22">
        <v>1804038</v>
      </c>
      <c r="P288" s="29">
        <f t="shared" si="7"/>
        <v>24337954</v>
      </c>
      <c r="Q288" s="28">
        <f>P288/C288-1</f>
        <v>0.06380308529703593</v>
      </c>
    </row>
    <row r="289" spans="1:17" ht="12.75">
      <c r="A289" s="1" t="s">
        <v>271</v>
      </c>
      <c r="B289" s="1" t="s">
        <v>307</v>
      </c>
      <c r="C289" s="29">
        <v>2841220</v>
      </c>
      <c r="D289" s="22">
        <v>247492</v>
      </c>
      <c r="E289" s="22">
        <v>252830</v>
      </c>
      <c r="F289" s="22">
        <v>251696</v>
      </c>
      <c r="G289" s="22">
        <v>261360</v>
      </c>
      <c r="H289" s="22">
        <v>273539</v>
      </c>
      <c r="I289" s="22">
        <v>278340</v>
      </c>
      <c r="J289" s="22">
        <v>307011</v>
      </c>
      <c r="K289" s="22">
        <v>277675</v>
      </c>
      <c r="L289" s="22">
        <v>279842</v>
      </c>
      <c r="M289" s="22">
        <v>273490</v>
      </c>
      <c r="N289" s="22">
        <v>292782</v>
      </c>
      <c r="O289" s="22">
        <v>277335</v>
      </c>
      <c r="P289" s="29">
        <f t="shared" si="7"/>
        <v>3273392</v>
      </c>
      <c r="Q289" s="28">
        <v>0.152</v>
      </c>
    </row>
    <row r="290" spans="1:17" ht="12.75">
      <c r="A290" s="1" t="s">
        <v>271</v>
      </c>
      <c r="B290" s="1" t="s">
        <v>66</v>
      </c>
      <c r="C290" s="29">
        <v>102711805</v>
      </c>
      <c r="D290" s="22">
        <v>6330349</v>
      </c>
      <c r="E290" s="22">
        <v>6501612</v>
      </c>
      <c r="F290" s="22">
        <v>7319898</v>
      </c>
      <c r="G290" s="22">
        <v>8598019</v>
      </c>
      <c r="H290" s="22">
        <v>10808343</v>
      </c>
      <c r="I290" s="22">
        <v>11987728</v>
      </c>
      <c r="J290" s="22">
        <v>13963366</v>
      </c>
      <c r="K290" s="22">
        <v>12814943</v>
      </c>
      <c r="L290" s="22">
        <v>12843715</v>
      </c>
      <c r="M290" s="22">
        <v>10867817</v>
      </c>
      <c r="N290" s="22">
        <v>8191167</v>
      </c>
      <c r="O290" s="22">
        <v>7120623</v>
      </c>
      <c r="P290" s="29">
        <f t="shared" si="7"/>
        <v>117347580</v>
      </c>
      <c r="Q290" s="28">
        <v>0.142</v>
      </c>
    </row>
    <row r="291" spans="1:17" ht="12.75">
      <c r="A291" s="1" t="s">
        <v>271</v>
      </c>
      <c r="B291" s="1" t="s">
        <v>304</v>
      </c>
      <c r="C291" s="29">
        <v>7759479</v>
      </c>
      <c r="D291" s="22">
        <v>642669</v>
      </c>
      <c r="E291" s="22">
        <v>640246</v>
      </c>
      <c r="F291" s="22">
        <v>682327</v>
      </c>
      <c r="G291" s="22">
        <v>673843</v>
      </c>
      <c r="H291" s="22">
        <v>701424</v>
      </c>
      <c r="I291" s="22">
        <v>749028</v>
      </c>
      <c r="J291" s="22">
        <v>841481</v>
      </c>
      <c r="K291" s="22">
        <v>686644</v>
      </c>
      <c r="L291" s="22">
        <v>752490</v>
      </c>
      <c r="M291" s="22">
        <v>718768</v>
      </c>
      <c r="N291" s="22">
        <v>722901</v>
      </c>
      <c r="O291" s="22">
        <v>708828</v>
      </c>
      <c r="P291" s="29">
        <f aca="true" t="shared" si="9" ref="P291:P308">SUM(D291:O291)</f>
        <v>8520649</v>
      </c>
      <c r="Q291" s="28">
        <v>0.097</v>
      </c>
    </row>
    <row r="292" spans="1:17" ht="12.75">
      <c r="A292" s="1" t="s">
        <v>271</v>
      </c>
      <c r="B292" s="1" t="s">
        <v>281</v>
      </c>
      <c r="C292" s="29">
        <v>21996601</v>
      </c>
      <c r="D292" s="22">
        <v>535470</v>
      </c>
      <c r="E292" s="22">
        <v>646438</v>
      </c>
      <c r="F292" s="22">
        <v>1019066</v>
      </c>
      <c r="G292" s="22">
        <v>1585240</v>
      </c>
      <c r="H292" s="22">
        <v>2777242</v>
      </c>
      <c r="I292" s="22">
        <v>3338969</v>
      </c>
      <c r="J292" s="22">
        <v>3838998</v>
      </c>
      <c r="K292" s="22">
        <v>3732911</v>
      </c>
      <c r="L292" s="22">
        <v>3384882</v>
      </c>
      <c r="M292" s="22">
        <v>2640588</v>
      </c>
      <c r="N292" s="22">
        <v>1046052</v>
      </c>
      <c r="O292" s="22">
        <v>567779</v>
      </c>
      <c r="P292" s="29">
        <f t="shared" si="9"/>
        <v>25113635</v>
      </c>
      <c r="Q292" s="28">
        <v>0.141</v>
      </c>
    </row>
    <row r="293" spans="1:17" ht="12.75">
      <c r="A293" s="1" t="s">
        <v>271</v>
      </c>
      <c r="B293" s="1" t="s">
        <v>306</v>
      </c>
      <c r="C293" s="29">
        <v>3071418</v>
      </c>
      <c r="D293" s="22">
        <v>42245</v>
      </c>
      <c r="E293" s="22">
        <v>44368</v>
      </c>
      <c r="F293" s="22">
        <v>51672</v>
      </c>
      <c r="G293" s="22">
        <v>136228</v>
      </c>
      <c r="H293" s="22">
        <v>341445</v>
      </c>
      <c r="I293" s="22">
        <v>498834</v>
      </c>
      <c r="J293" s="22">
        <v>677700</v>
      </c>
      <c r="K293" s="22">
        <v>658697</v>
      </c>
      <c r="L293" s="22">
        <v>533084</v>
      </c>
      <c r="M293" s="22">
        <v>281802</v>
      </c>
      <c r="N293" s="22">
        <v>62132</v>
      </c>
      <c r="O293" s="22">
        <v>50991</v>
      </c>
      <c r="P293" s="29">
        <f t="shared" si="9"/>
        <v>3379198</v>
      </c>
      <c r="Q293" s="28">
        <v>0.095</v>
      </c>
    </row>
    <row r="294" spans="1:17" ht="12.75">
      <c r="A294" s="1" t="s">
        <v>271</v>
      </c>
      <c r="B294" s="1" t="s">
        <v>305</v>
      </c>
      <c r="C294" s="29">
        <v>3784440</v>
      </c>
      <c r="D294" s="22">
        <v>22555</v>
      </c>
      <c r="E294" s="22">
        <v>23610</v>
      </c>
      <c r="F294" s="22">
        <v>30352</v>
      </c>
      <c r="G294" s="22">
        <v>148288</v>
      </c>
      <c r="H294" s="22">
        <v>421295</v>
      </c>
      <c r="I294" s="22">
        <v>584298</v>
      </c>
      <c r="J294" s="22">
        <v>721663</v>
      </c>
      <c r="K294" s="22">
        <v>707670</v>
      </c>
      <c r="L294" s="22">
        <v>614296</v>
      </c>
      <c r="M294" s="22">
        <v>384065</v>
      </c>
      <c r="N294" s="22">
        <v>44738</v>
      </c>
      <c r="O294" s="22">
        <v>30111</v>
      </c>
      <c r="P294" s="29">
        <f t="shared" si="9"/>
        <v>3732941</v>
      </c>
      <c r="Q294" s="28">
        <v>-0.014</v>
      </c>
    </row>
    <row r="295" spans="1:17" ht="12.75">
      <c r="A295" s="1" t="s">
        <v>271</v>
      </c>
      <c r="B295" s="1" t="s">
        <v>309</v>
      </c>
      <c r="C295" s="29">
        <v>1404639</v>
      </c>
      <c r="D295" s="22">
        <v>116017</v>
      </c>
      <c r="E295" s="22">
        <v>126087</v>
      </c>
      <c r="F295" s="22">
        <v>119495</v>
      </c>
      <c r="G295" s="22">
        <v>124711</v>
      </c>
      <c r="H295" s="22">
        <v>141049</v>
      </c>
      <c r="I295" s="22">
        <v>158554</v>
      </c>
      <c r="J295" s="22">
        <v>175032</v>
      </c>
      <c r="K295" s="22">
        <v>144337</v>
      </c>
      <c r="L295" s="22">
        <v>156523</v>
      </c>
      <c r="M295" s="22">
        <v>145814</v>
      </c>
      <c r="N295" s="22">
        <v>151611</v>
      </c>
      <c r="O295" s="22">
        <v>131423</v>
      </c>
      <c r="P295" s="29">
        <f t="shared" si="9"/>
        <v>1690653</v>
      </c>
      <c r="Q295" s="28">
        <v>0.204</v>
      </c>
    </row>
    <row r="296" spans="1:17" ht="12.75">
      <c r="A296" s="1" t="s">
        <v>271</v>
      </c>
      <c r="B296" s="1" t="s">
        <v>311</v>
      </c>
      <c r="C296" s="29">
        <v>1042309</v>
      </c>
      <c r="D296" s="22">
        <v>96798</v>
      </c>
      <c r="E296" s="22">
        <v>95063</v>
      </c>
      <c r="F296" s="22">
        <v>98393</v>
      </c>
      <c r="G296" s="22">
        <v>103790</v>
      </c>
      <c r="H296" s="22">
        <v>110667</v>
      </c>
      <c r="I296" s="22">
        <v>108179</v>
      </c>
      <c r="J296" s="22">
        <v>115289</v>
      </c>
      <c r="K296" s="22">
        <v>108051</v>
      </c>
      <c r="L296" s="22">
        <v>119746</v>
      </c>
      <c r="M296" s="22">
        <v>114130</v>
      </c>
      <c r="N296" s="22">
        <v>123966</v>
      </c>
      <c r="O296" s="22">
        <v>115526</v>
      </c>
      <c r="P296" s="29">
        <f t="shared" si="9"/>
        <v>1309598</v>
      </c>
      <c r="Q296" s="28">
        <v>0.259</v>
      </c>
    </row>
    <row r="297" spans="1:17" ht="12.75">
      <c r="A297" s="1" t="s">
        <v>271</v>
      </c>
      <c r="B297" s="1" t="s">
        <v>302</v>
      </c>
      <c r="C297" s="29">
        <v>32145619</v>
      </c>
      <c r="D297" s="22">
        <v>2341868</v>
      </c>
      <c r="E297" s="22">
        <v>2350737</v>
      </c>
      <c r="F297" s="22">
        <v>2686110</v>
      </c>
      <c r="G297" s="22">
        <v>2993829</v>
      </c>
      <c r="H297" s="22">
        <v>3129116</v>
      </c>
      <c r="I297" s="22">
        <v>3214760</v>
      </c>
      <c r="J297" s="22">
        <v>3808954</v>
      </c>
      <c r="K297" s="22">
        <v>3463478</v>
      </c>
      <c r="L297" s="22">
        <v>3890502</v>
      </c>
      <c r="M297" s="22">
        <v>3508108</v>
      </c>
      <c r="N297" s="22">
        <v>3126412</v>
      </c>
      <c r="O297" s="22">
        <v>2938313</v>
      </c>
      <c r="P297" s="29">
        <f t="shared" si="9"/>
        <v>37452187</v>
      </c>
      <c r="Q297" s="28">
        <v>0.165</v>
      </c>
    </row>
    <row r="298" spans="1:17" ht="12.75">
      <c r="A298" s="1" t="s">
        <v>271</v>
      </c>
      <c r="B298" s="1" t="s">
        <v>272</v>
      </c>
      <c r="C298" s="29">
        <v>11129472</v>
      </c>
      <c r="D298" s="22">
        <v>910825</v>
      </c>
      <c r="E298" s="22">
        <v>891333</v>
      </c>
      <c r="F298" s="22">
        <v>917912</v>
      </c>
      <c r="G298" s="22">
        <v>1009645</v>
      </c>
      <c r="H298" s="22">
        <v>1189915</v>
      </c>
      <c r="I298" s="22">
        <v>1188860</v>
      </c>
      <c r="J298" s="22">
        <v>1353130</v>
      </c>
      <c r="K298" s="22">
        <v>1155400</v>
      </c>
      <c r="L298" s="22">
        <v>1220989</v>
      </c>
      <c r="M298" s="22">
        <v>1090241</v>
      </c>
      <c r="N298" s="22">
        <v>1009387</v>
      </c>
      <c r="O298" s="22">
        <v>811593</v>
      </c>
      <c r="P298" s="29">
        <f t="shared" si="9"/>
        <v>12749230</v>
      </c>
      <c r="Q298" s="28">
        <v>0.139</v>
      </c>
    </row>
    <row r="299" spans="1:17" ht="12.75">
      <c r="A299" s="1" t="s">
        <v>271</v>
      </c>
      <c r="B299" s="1" t="s">
        <v>303</v>
      </c>
      <c r="C299" s="29">
        <v>7485067</v>
      </c>
      <c r="D299" s="22">
        <v>535195</v>
      </c>
      <c r="E299" s="22">
        <v>559992</v>
      </c>
      <c r="F299" s="22">
        <v>592613</v>
      </c>
      <c r="G299" s="22">
        <v>670209</v>
      </c>
      <c r="H299" s="22">
        <v>747832</v>
      </c>
      <c r="I299" s="22">
        <v>821845</v>
      </c>
      <c r="J299" s="22">
        <v>927585</v>
      </c>
      <c r="K299" s="22">
        <v>870004</v>
      </c>
      <c r="L299" s="22">
        <v>847220</v>
      </c>
      <c r="M299" s="22">
        <v>759424</v>
      </c>
      <c r="N299" s="22">
        <v>622552</v>
      </c>
      <c r="O299" s="22">
        <v>588340</v>
      </c>
      <c r="P299" s="29">
        <f t="shared" si="9"/>
        <v>8542811</v>
      </c>
      <c r="Q299" s="28">
        <v>0.141</v>
      </c>
    </row>
    <row r="300" spans="1:17" ht="12.75">
      <c r="A300" s="1" t="s">
        <v>271</v>
      </c>
      <c r="B300" s="1" t="s">
        <v>310</v>
      </c>
      <c r="C300" s="29">
        <v>940184</v>
      </c>
      <c r="D300" s="22">
        <v>68739</v>
      </c>
      <c r="E300" s="22">
        <v>69365</v>
      </c>
      <c r="F300" s="22">
        <v>77640</v>
      </c>
      <c r="G300" s="22">
        <v>88984</v>
      </c>
      <c r="H300" s="22">
        <v>99957</v>
      </c>
      <c r="I300" s="22">
        <v>109370</v>
      </c>
      <c r="J300" s="22">
        <v>133583</v>
      </c>
      <c r="K300" s="22">
        <v>117591</v>
      </c>
      <c r="L300" s="22">
        <v>116698</v>
      </c>
      <c r="M300" s="22">
        <v>107653</v>
      </c>
      <c r="N300" s="22">
        <v>89412</v>
      </c>
      <c r="O300" s="22">
        <v>85674</v>
      </c>
      <c r="P300" s="29">
        <f t="shared" si="9"/>
        <v>1164666</v>
      </c>
      <c r="Q300" s="28">
        <v>0.239</v>
      </c>
    </row>
    <row r="301" spans="1:17" ht="12.75">
      <c r="A301" s="1" t="s">
        <v>271</v>
      </c>
      <c r="B301" s="1" t="s">
        <v>308</v>
      </c>
      <c r="C301" s="29">
        <v>1963168</v>
      </c>
      <c r="D301" s="22">
        <v>165188</v>
      </c>
      <c r="E301" s="22">
        <v>163202</v>
      </c>
      <c r="F301" s="22">
        <v>161069</v>
      </c>
      <c r="G301" s="22">
        <v>171048</v>
      </c>
      <c r="H301" s="22">
        <v>183579</v>
      </c>
      <c r="I301" s="22">
        <v>206910</v>
      </c>
      <c r="J301" s="22">
        <v>253439</v>
      </c>
      <c r="K301" s="22">
        <v>198187</v>
      </c>
      <c r="L301" s="22">
        <v>208404</v>
      </c>
      <c r="M301" s="22">
        <v>178152</v>
      </c>
      <c r="N301" s="22">
        <v>195290</v>
      </c>
      <c r="O301" s="22">
        <v>182325</v>
      </c>
      <c r="P301" s="29">
        <f t="shared" si="9"/>
        <v>2266793</v>
      </c>
      <c r="Q301" s="28">
        <v>0.155</v>
      </c>
    </row>
    <row r="302" spans="1:17" ht="12.75">
      <c r="A302" s="1" t="s">
        <v>334</v>
      </c>
      <c r="B302" s="1" t="s">
        <v>341</v>
      </c>
      <c r="C302" s="29">
        <v>341430</v>
      </c>
      <c r="D302" s="22">
        <v>26477</v>
      </c>
      <c r="E302" s="22">
        <v>20624</v>
      </c>
      <c r="F302" s="22">
        <v>26239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9">
        <f t="shared" si="9"/>
        <v>73340</v>
      </c>
      <c r="Q302" s="28"/>
    </row>
    <row r="303" spans="1:17" ht="12.75">
      <c r="A303" s="1" t="s">
        <v>334</v>
      </c>
      <c r="B303" s="1" t="s">
        <v>344</v>
      </c>
      <c r="C303" s="29">
        <v>612206</v>
      </c>
      <c r="D303" s="22">
        <v>43083</v>
      </c>
      <c r="E303" s="22">
        <v>37239</v>
      </c>
      <c r="F303" s="22">
        <v>49312</v>
      </c>
      <c r="G303" s="22">
        <v>58870</v>
      </c>
      <c r="H303" s="22">
        <v>69870</v>
      </c>
      <c r="I303" s="22">
        <v>76091</v>
      </c>
      <c r="J303" s="22"/>
      <c r="K303" s="22"/>
      <c r="L303" s="22"/>
      <c r="M303" s="22"/>
      <c r="N303" s="22"/>
      <c r="O303" s="22"/>
      <c r="P303" s="29">
        <f t="shared" si="9"/>
        <v>334465</v>
      </c>
      <c r="Q303" s="28"/>
    </row>
    <row r="304" spans="1:17" ht="12.75">
      <c r="A304" s="1" t="s">
        <v>334</v>
      </c>
      <c r="B304" s="1" t="s">
        <v>345</v>
      </c>
      <c r="C304" s="29">
        <v>243294</v>
      </c>
      <c r="D304" s="22">
        <v>21216</v>
      </c>
      <c r="E304" s="22">
        <v>15664</v>
      </c>
      <c r="F304" s="22">
        <v>18922</v>
      </c>
      <c r="G304" s="22">
        <v>21020</v>
      </c>
      <c r="H304" s="22">
        <v>30791</v>
      </c>
      <c r="I304" s="22">
        <v>31378</v>
      </c>
      <c r="J304" s="22"/>
      <c r="K304" s="22"/>
      <c r="L304" s="22"/>
      <c r="M304" s="22"/>
      <c r="N304" s="22"/>
      <c r="O304" s="22"/>
      <c r="P304" s="29">
        <f t="shared" si="9"/>
        <v>138991</v>
      </c>
      <c r="Q304" s="28"/>
    </row>
    <row r="305" spans="1:17" ht="12.75">
      <c r="A305" s="1" t="s">
        <v>334</v>
      </c>
      <c r="B305" s="1" t="s">
        <v>340</v>
      </c>
      <c r="C305" s="29">
        <v>6692382</v>
      </c>
      <c r="D305" s="22">
        <v>491204</v>
      </c>
      <c r="E305" s="22">
        <v>412947</v>
      </c>
      <c r="F305" s="22">
        <v>520156</v>
      </c>
      <c r="G305" s="22">
        <v>556358</v>
      </c>
      <c r="H305" s="22">
        <v>692612</v>
      </c>
      <c r="I305" s="22">
        <v>767895</v>
      </c>
      <c r="J305" s="22">
        <v>907895</v>
      </c>
      <c r="K305" s="22">
        <v>936413</v>
      </c>
      <c r="L305" s="22">
        <v>857000</v>
      </c>
      <c r="M305" s="22">
        <v>730807</v>
      </c>
      <c r="N305" s="22"/>
      <c r="O305" s="22">
        <v>584938</v>
      </c>
      <c r="P305" s="29">
        <v>8047072</v>
      </c>
      <c r="Q305" s="28">
        <f>P305/C305-1</f>
        <v>0.2024226949388126</v>
      </c>
    </row>
    <row r="306" spans="1:17" ht="12.75">
      <c r="A306" s="1" t="s">
        <v>334</v>
      </c>
      <c r="B306" s="1" t="s">
        <v>346</v>
      </c>
      <c r="C306" s="29">
        <v>481934</v>
      </c>
      <c r="D306" s="22">
        <v>30016</v>
      </c>
      <c r="E306" s="22">
        <v>22265</v>
      </c>
      <c r="F306" s="22">
        <v>25166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9">
        <f t="shared" si="9"/>
        <v>77447</v>
      </c>
      <c r="Q306" s="28"/>
    </row>
    <row r="307" spans="1:17" ht="12.75">
      <c r="A307" s="1" t="s">
        <v>334</v>
      </c>
      <c r="B307" s="1" t="s">
        <v>342</v>
      </c>
      <c r="C307" s="29">
        <v>707140</v>
      </c>
      <c r="D307" s="22">
        <v>45648</v>
      </c>
      <c r="E307" s="22">
        <v>37922</v>
      </c>
      <c r="F307" s="22">
        <v>45750</v>
      </c>
      <c r="G307" s="22">
        <v>55355</v>
      </c>
      <c r="H307" s="22">
        <v>74979</v>
      </c>
      <c r="I307" s="22">
        <v>83399</v>
      </c>
      <c r="J307" s="22"/>
      <c r="K307" s="22"/>
      <c r="L307" s="22"/>
      <c r="M307" s="22"/>
      <c r="N307" s="22"/>
      <c r="O307" s="22"/>
      <c r="P307" s="29">
        <f t="shared" si="9"/>
        <v>343053</v>
      </c>
      <c r="Q307" s="28"/>
    </row>
    <row r="308" spans="1:17" ht="12.75">
      <c r="A308" s="1" t="s">
        <v>334</v>
      </c>
      <c r="B308" s="1" t="s">
        <v>343</v>
      </c>
      <c r="C308" s="29">
        <v>841185</v>
      </c>
      <c r="D308" s="22">
        <v>30354</v>
      </c>
      <c r="E308" s="22">
        <v>26311</v>
      </c>
      <c r="F308" s="22">
        <v>35438</v>
      </c>
      <c r="G308" s="22">
        <v>47608</v>
      </c>
      <c r="H308" s="22">
        <v>68619</v>
      </c>
      <c r="I308" s="22">
        <v>121215</v>
      </c>
      <c r="J308" s="22"/>
      <c r="K308" s="22"/>
      <c r="L308" s="22"/>
      <c r="M308" s="22"/>
      <c r="N308" s="22"/>
      <c r="O308" s="22"/>
      <c r="P308" s="29">
        <f t="shared" si="9"/>
        <v>329545</v>
      </c>
      <c r="Q308" s="28"/>
    </row>
    <row r="309" spans="1:17" ht="12.75">
      <c r="A309" s="1" t="s">
        <v>113</v>
      </c>
      <c r="B309" s="6" t="s">
        <v>115</v>
      </c>
      <c r="C309" s="29">
        <v>2766389</v>
      </c>
      <c r="D309" s="22">
        <v>198894</v>
      </c>
      <c r="E309" s="22">
        <v>203137</v>
      </c>
      <c r="F309" s="22">
        <v>249414</v>
      </c>
      <c r="G309" s="22">
        <v>245963</v>
      </c>
      <c r="H309" s="22">
        <v>256447</v>
      </c>
      <c r="I309" s="22">
        <v>285442</v>
      </c>
      <c r="J309" s="22">
        <v>299651</v>
      </c>
      <c r="K309" s="22">
        <v>274781</v>
      </c>
      <c r="L309" s="22">
        <v>298700</v>
      </c>
      <c r="M309" s="22">
        <v>281547</v>
      </c>
      <c r="N309" s="22">
        <v>260683</v>
      </c>
      <c r="O309" s="22">
        <v>133069</v>
      </c>
      <c r="P309" s="29">
        <v>3082626</v>
      </c>
      <c r="Q309" s="28">
        <v>0.115</v>
      </c>
    </row>
    <row r="310" spans="1:17" ht="12.75">
      <c r="A310" s="1" t="s">
        <v>113</v>
      </c>
      <c r="B310" s="6" t="s">
        <v>66</v>
      </c>
      <c r="C310" s="29">
        <v>213710987</v>
      </c>
      <c r="D310" s="22">
        <v>14209726</v>
      </c>
      <c r="E310" s="22">
        <v>13992645</v>
      </c>
      <c r="F310" s="22">
        <v>16214385</v>
      </c>
      <c r="G310" s="22">
        <v>18235577</v>
      </c>
      <c r="H310" s="22">
        <v>19692561</v>
      </c>
      <c r="I310" s="22">
        <v>21232229</v>
      </c>
      <c r="J310" s="22">
        <v>23559974</v>
      </c>
      <c r="K310" s="22">
        <v>23569488</v>
      </c>
      <c r="L310" s="22">
        <v>21836218</v>
      </c>
      <c r="M310" s="22">
        <v>19541623</v>
      </c>
      <c r="N310" s="22">
        <v>14858117</v>
      </c>
      <c r="O310" s="22">
        <v>15202426</v>
      </c>
      <c r="P310" s="29">
        <v>222333447</v>
      </c>
      <c r="Q310" s="28">
        <v>0.041</v>
      </c>
    </row>
    <row r="311" spans="1:17" ht="12.75">
      <c r="A311" s="1" t="s">
        <v>113</v>
      </c>
      <c r="B311" s="6" t="s">
        <v>116</v>
      </c>
      <c r="C311" s="29">
        <v>2744034</v>
      </c>
      <c r="D311" s="22">
        <v>174284</v>
      </c>
      <c r="E311" s="22">
        <v>185532</v>
      </c>
      <c r="F311" s="22">
        <v>211042</v>
      </c>
      <c r="G311" s="22">
        <v>217208</v>
      </c>
      <c r="H311" s="22">
        <v>207540</v>
      </c>
      <c r="I311" s="22">
        <v>210920</v>
      </c>
      <c r="J311" s="22">
        <v>220498</v>
      </c>
      <c r="K311" s="22">
        <v>226040</v>
      </c>
      <c r="L311" s="22">
        <v>200087</v>
      </c>
      <c r="M311" s="22">
        <v>198029</v>
      </c>
      <c r="N311" s="22">
        <v>180020</v>
      </c>
      <c r="O311" s="22">
        <v>166943</v>
      </c>
      <c r="P311" s="29">
        <v>2395624</v>
      </c>
      <c r="Q311" s="28">
        <v>-0.126</v>
      </c>
    </row>
    <row r="312" spans="1:17" ht="12.75">
      <c r="A312" s="1" t="s">
        <v>113</v>
      </c>
      <c r="B312" s="6" t="s">
        <v>117</v>
      </c>
      <c r="C312" s="29">
        <v>4011204</v>
      </c>
      <c r="D312" s="22">
        <v>234206</v>
      </c>
      <c r="E312" s="22">
        <v>259289</v>
      </c>
      <c r="F312" s="22">
        <v>286473</v>
      </c>
      <c r="G312" s="22">
        <v>315774</v>
      </c>
      <c r="H312" s="22">
        <v>355686</v>
      </c>
      <c r="I312" s="22">
        <v>396066</v>
      </c>
      <c r="J312" s="22">
        <v>477570</v>
      </c>
      <c r="K312" s="22">
        <v>454551</v>
      </c>
      <c r="L312" s="22">
        <v>397830</v>
      </c>
      <c r="M312" s="22">
        <v>355446</v>
      </c>
      <c r="N312" s="22">
        <v>288134</v>
      </c>
      <c r="O312" s="22">
        <v>281751</v>
      </c>
      <c r="P312" s="29">
        <v>4102445</v>
      </c>
      <c r="Q312" s="28">
        <v>0.023</v>
      </c>
    </row>
    <row r="313" spans="1:17" ht="12.75">
      <c r="A313" s="1" t="s">
        <v>113</v>
      </c>
      <c r="B313" s="6" t="s">
        <v>121</v>
      </c>
      <c r="C313" s="29">
        <v>8565399</v>
      </c>
      <c r="D313" s="22">
        <v>522473</v>
      </c>
      <c r="E313" s="22">
        <v>535630</v>
      </c>
      <c r="F313" s="22">
        <v>621050</v>
      </c>
      <c r="G313" s="22">
        <v>685631</v>
      </c>
      <c r="H313" s="22">
        <v>777449</v>
      </c>
      <c r="I313" s="22">
        <v>860649</v>
      </c>
      <c r="J313" s="22">
        <v>938739</v>
      </c>
      <c r="K313" s="22">
        <v>945379</v>
      </c>
      <c r="L313" s="22">
        <v>904114</v>
      </c>
      <c r="M313" s="22">
        <v>763256</v>
      </c>
      <c r="N313" s="22">
        <v>546644</v>
      </c>
      <c r="O313" s="22">
        <v>509796</v>
      </c>
      <c r="P313" s="29">
        <v>8608828</v>
      </c>
      <c r="Q313" s="28">
        <v>0.005</v>
      </c>
    </row>
    <row r="314" spans="1:17" ht="12.75">
      <c r="A314" s="1" t="s">
        <v>113</v>
      </c>
      <c r="B314" s="6" t="s">
        <v>132</v>
      </c>
      <c r="C314" s="29">
        <v>230663</v>
      </c>
      <c r="D314" s="22">
        <v>5858</v>
      </c>
      <c r="E314" s="22">
        <v>7406</v>
      </c>
      <c r="F314" s="22">
        <v>9945</v>
      </c>
      <c r="G314" s="22">
        <v>18887</v>
      </c>
      <c r="H314" s="22">
        <v>22275</v>
      </c>
      <c r="I314" s="22">
        <v>32434</v>
      </c>
      <c r="J314" s="22">
        <v>37645</v>
      </c>
      <c r="K314" s="22">
        <v>37367</v>
      </c>
      <c r="L314" s="22">
        <v>30507</v>
      </c>
      <c r="M314" s="22">
        <v>16676</v>
      </c>
      <c r="N314" s="22">
        <v>8936</v>
      </c>
      <c r="O314" s="22">
        <v>8628</v>
      </c>
      <c r="P314" s="29">
        <v>235761</v>
      </c>
      <c r="Q314" s="28">
        <v>0.002</v>
      </c>
    </row>
    <row r="315" spans="1:17" ht="12.75">
      <c r="A315" s="1" t="s">
        <v>113</v>
      </c>
      <c r="B315" s="6" t="s">
        <v>127</v>
      </c>
      <c r="C315" s="29">
        <v>750245</v>
      </c>
      <c r="D315" s="22">
        <v>18126</v>
      </c>
      <c r="E315" s="22">
        <v>33294</v>
      </c>
      <c r="F315" s="22">
        <v>39057</v>
      </c>
      <c r="G315" s="22">
        <v>62826</v>
      </c>
      <c r="H315" s="22">
        <v>67953</v>
      </c>
      <c r="I315" s="22">
        <v>71407</v>
      </c>
      <c r="J315" s="22">
        <v>74924</v>
      </c>
      <c r="K315" s="22">
        <v>81238</v>
      </c>
      <c r="L315" s="22">
        <v>76371</v>
      </c>
      <c r="M315" s="22">
        <v>62835</v>
      </c>
      <c r="N315" s="22">
        <v>10593</v>
      </c>
      <c r="O315" s="22">
        <v>14064</v>
      </c>
      <c r="P315" s="29">
        <v>612547</v>
      </c>
      <c r="Q315" s="28">
        <v>-0.183</v>
      </c>
    </row>
    <row r="316" spans="1:17" ht="12.75">
      <c r="A316" s="1" t="s">
        <v>113</v>
      </c>
      <c r="B316" s="6" t="s">
        <v>128</v>
      </c>
      <c r="C316" s="29">
        <v>5723420</v>
      </c>
      <c r="D316" s="22">
        <v>330047</v>
      </c>
      <c r="E316" s="22">
        <v>344771</v>
      </c>
      <c r="F316" s="22">
        <v>394884</v>
      </c>
      <c r="G316" s="22">
        <v>489720</v>
      </c>
      <c r="H316" s="22">
        <v>534654</v>
      </c>
      <c r="I316" s="22">
        <v>572764</v>
      </c>
      <c r="J316" s="22">
        <v>625217</v>
      </c>
      <c r="K316" s="22">
        <v>672904</v>
      </c>
      <c r="L316" s="22">
        <v>617821</v>
      </c>
      <c r="M316" s="22">
        <v>532532</v>
      </c>
      <c r="N316" s="22">
        <v>313368</v>
      </c>
      <c r="O316" s="22">
        <v>340541</v>
      </c>
      <c r="P316" s="29">
        <v>5768011</v>
      </c>
      <c r="Q316" s="28">
        <v>0.008</v>
      </c>
    </row>
    <row r="317" spans="1:17" ht="12.75">
      <c r="A317" s="1" t="s">
        <v>113</v>
      </c>
      <c r="B317" s="6" t="s">
        <v>129</v>
      </c>
      <c r="C317" s="29">
        <v>1398783</v>
      </c>
      <c r="D317" s="22">
        <v>58788</v>
      </c>
      <c r="E317" s="22">
        <v>66175</v>
      </c>
      <c r="F317" s="22">
        <v>71967</v>
      </c>
      <c r="G317" s="22">
        <v>82698</v>
      </c>
      <c r="H317" s="22">
        <v>135890</v>
      </c>
      <c r="I317" s="22">
        <v>140934</v>
      </c>
      <c r="J317" s="22">
        <v>150563</v>
      </c>
      <c r="K317" s="22">
        <v>152039</v>
      </c>
      <c r="L317" s="22">
        <v>143131</v>
      </c>
      <c r="M317" s="22">
        <v>112084</v>
      </c>
      <c r="N317" s="22">
        <v>51784</v>
      </c>
      <c r="O317" s="22">
        <v>43106</v>
      </c>
      <c r="P317" s="29">
        <v>1208268</v>
      </c>
      <c r="Q317" s="28">
        <v>-0.136</v>
      </c>
    </row>
    <row r="318" spans="1:17" ht="12.75">
      <c r="A318" s="1" t="s">
        <v>113</v>
      </c>
      <c r="B318" s="6" t="s">
        <v>149</v>
      </c>
      <c r="C318" s="29">
        <v>338488</v>
      </c>
      <c r="D318" s="22">
        <v>23134</v>
      </c>
      <c r="E318" s="22">
        <v>26381</v>
      </c>
      <c r="F318" s="22">
        <v>29515</v>
      </c>
      <c r="G318" s="22">
        <v>29495</v>
      </c>
      <c r="H318" s="22">
        <v>35279</v>
      </c>
      <c r="I318" s="22">
        <v>38055</v>
      </c>
      <c r="J318" s="22">
        <v>46898</v>
      </c>
      <c r="K318" s="22">
        <v>47053</v>
      </c>
      <c r="L318" s="22">
        <v>35054</v>
      </c>
      <c r="M318" s="22">
        <v>35342</v>
      </c>
      <c r="N318" s="22">
        <v>31021</v>
      </c>
      <c r="O318" s="22">
        <v>28354</v>
      </c>
      <c r="P318" s="29">
        <v>405568</v>
      </c>
      <c r="Q318" s="28">
        <v>0.198</v>
      </c>
    </row>
    <row r="319" spans="1:17" ht="12.75">
      <c r="A319" s="1" t="s">
        <v>113</v>
      </c>
      <c r="B319" s="6" t="s">
        <v>122</v>
      </c>
      <c r="C319" s="29">
        <v>877236</v>
      </c>
      <c r="D319" s="22">
        <v>36546</v>
      </c>
      <c r="E319" s="22">
        <v>31773</v>
      </c>
      <c r="F319" s="22">
        <v>39989</v>
      </c>
      <c r="G319" s="22">
        <v>53672</v>
      </c>
      <c r="H319" s="22">
        <v>88620</v>
      </c>
      <c r="I319" s="22">
        <v>99373</v>
      </c>
      <c r="J319" s="22">
        <v>103152</v>
      </c>
      <c r="K319" s="22">
        <v>108262</v>
      </c>
      <c r="L319" s="22">
        <v>101513</v>
      </c>
      <c r="M319" s="22">
        <v>86614</v>
      </c>
      <c r="N319" s="22">
        <v>35389</v>
      </c>
      <c r="O319" s="22">
        <v>37161</v>
      </c>
      <c r="P319" s="29">
        <v>821615</v>
      </c>
      <c r="Q319" s="28">
        <v>-0.062</v>
      </c>
    </row>
    <row r="320" spans="1:17" ht="12.75">
      <c r="A320" s="1" t="s">
        <v>113</v>
      </c>
      <c r="B320" s="6" t="s">
        <v>133</v>
      </c>
      <c r="C320" s="29">
        <v>224556</v>
      </c>
      <c r="D320" s="22">
        <v>16529</v>
      </c>
      <c r="E320" s="22">
        <v>15884</v>
      </c>
      <c r="F320" s="22">
        <v>18083</v>
      </c>
      <c r="G320" s="22">
        <v>16255</v>
      </c>
      <c r="H320" s="22">
        <v>16318</v>
      </c>
      <c r="I320" s="22">
        <v>19897</v>
      </c>
      <c r="J320" s="22">
        <v>16794</v>
      </c>
      <c r="K320" s="22">
        <v>16213</v>
      </c>
      <c r="L320" s="22">
        <v>15224</v>
      </c>
      <c r="M320" s="22">
        <v>13298</v>
      </c>
      <c r="N320" s="22">
        <v>13493</v>
      </c>
      <c r="O320" s="22">
        <v>12322</v>
      </c>
      <c r="P320" s="29">
        <v>190284</v>
      </c>
      <c r="Q320" s="28">
        <v>-0.153</v>
      </c>
    </row>
    <row r="321" spans="1:17" ht="12.75">
      <c r="A321" s="1" t="s">
        <v>113</v>
      </c>
      <c r="B321" s="6" t="s">
        <v>317</v>
      </c>
      <c r="C321" s="29">
        <v>4112841</v>
      </c>
      <c r="D321" s="22">
        <v>187323</v>
      </c>
      <c r="E321" s="22">
        <v>200493</v>
      </c>
      <c r="F321" s="22">
        <v>241088</v>
      </c>
      <c r="G321" s="22">
        <v>334226</v>
      </c>
      <c r="H321" s="22">
        <v>411521</v>
      </c>
      <c r="I321" s="22">
        <v>476633</v>
      </c>
      <c r="J321" s="22">
        <v>512121</v>
      </c>
      <c r="K321" s="22">
        <v>538626</v>
      </c>
      <c r="L321" s="22">
        <v>483899</v>
      </c>
      <c r="M321" s="22">
        <v>412172</v>
      </c>
      <c r="N321" s="22">
        <v>211849</v>
      </c>
      <c r="O321" s="22">
        <v>201589</v>
      </c>
      <c r="P321" s="29">
        <v>4208435</v>
      </c>
      <c r="Q321" s="28">
        <v>0.024</v>
      </c>
    </row>
    <row r="322" spans="1:17" ht="12.75">
      <c r="A322" s="1" t="s">
        <v>113</v>
      </c>
      <c r="B322" s="6" t="s">
        <v>118</v>
      </c>
      <c r="C322" s="29">
        <v>8598699</v>
      </c>
      <c r="D322" s="22">
        <v>583372</v>
      </c>
      <c r="E322" s="22">
        <v>611124</v>
      </c>
      <c r="F322" s="22">
        <v>720079</v>
      </c>
      <c r="G322" s="22">
        <v>776406</v>
      </c>
      <c r="H322" s="22">
        <v>826078</v>
      </c>
      <c r="I322" s="22">
        <v>919319</v>
      </c>
      <c r="J322" s="22">
        <v>992576</v>
      </c>
      <c r="K322" s="22">
        <v>954832</v>
      </c>
      <c r="L322" s="22">
        <v>900049</v>
      </c>
      <c r="M322" s="22">
        <v>868664</v>
      </c>
      <c r="N322" s="22">
        <v>642198</v>
      </c>
      <c r="O322" s="22">
        <v>591678</v>
      </c>
      <c r="P322" s="29">
        <v>9384072</v>
      </c>
      <c r="Q322" s="28">
        <v>0.092</v>
      </c>
    </row>
    <row r="323" spans="1:17" ht="12.75">
      <c r="A323" s="1" t="s">
        <v>113</v>
      </c>
      <c r="B323" s="6" t="s">
        <v>130</v>
      </c>
      <c r="C323" s="29">
        <v>738998</v>
      </c>
      <c r="D323" s="22">
        <v>33632</v>
      </c>
      <c r="E323" s="22">
        <v>37321</v>
      </c>
      <c r="F323" s="22">
        <v>39724</v>
      </c>
      <c r="G323" s="22">
        <v>50693</v>
      </c>
      <c r="H323" s="22">
        <v>72583</v>
      </c>
      <c r="I323" s="22">
        <v>79731</v>
      </c>
      <c r="J323" s="22">
        <v>80863</v>
      </c>
      <c r="K323" s="22">
        <v>85953</v>
      </c>
      <c r="L323" s="22">
        <v>81580</v>
      </c>
      <c r="M323" s="22">
        <v>68234</v>
      </c>
      <c r="N323" s="22">
        <v>38009</v>
      </c>
      <c r="O323" s="22">
        <v>39453</v>
      </c>
      <c r="P323" s="29">
        <v>709848</v>
      </c>
      <c r="Q323" s="28">
        <v>-0.036</v>
      </c>
    </row>
    <row r="324" spans="1:17" ht="12.75">
      <c r="A324" s="1" t="s">
        <v>113</v>
      </c>
      <c r="B324" s="6" t="s">
        <v>119</v>
      </c>
      <c r="C324" s="29">
        <v>6527322</v>
      </c>
      <c r="D324" s="22">
        <v>417733</v>
      </c>
      <c r="E324" s="22">
        <v>416253</v>
      </c>
      <c r="F324" s="22">
        <v>485186</v>
      </c>
      <c r="G324" s="22">
        <v>512602</v>
      </c>
      <c r="H324" s="22">
        <v>599815</v>
      </c>
      <c r="I324" s="22">
        <v>702881</v>
      </c>
      <c r="J324" s="22">
        <v>793240</v>
      </c>
      <c r="K324" s="22">
        <v>682131</v>
      </c>
      <c r="L324" s="22">
        <v>696836</v>
      </c>
      <c r="M324" s="22">
        <v>663982</v>
      </c>
      <c r="N324" s="22">
        <v>472833</v>
      </c>
      <c r="O324" s="22">
        <v>420369</v>
      </c>
      <c r="P324" s="29">
        <v>6858829</v>
      </c>
      <c r="Q324" s="28">
        <v>0.052</v>
      </c>
    </row>
    <row r="325" spans="1:17" ht="12.75">
      <c r="A325" s="1" t="s">
        <v>113</v>
      </c>
      <c r="B325" s="6" t="s">
        <v>134</v>
      </c>
      <c r="C325" s="29">
        <v>886366</v>
      </c>
      <c r="D325" s="22">
        <v>52741</v>
      </c>
      <c r="E325" s="22">
        <v>58092</v>
      </c>
      <c r="F325" s="22">
        <v>71101</v>
      </c>
      <c r="G325" s="22">
        <v>76527</v>
      </c>
      <c r="H325" s="22">
        <v>80304</v>
      </c>
      <c r="I325" s="22">
        <v>83362</v>
      </c>
      <c r="J325" s="22">
        <v>90681</v>
      </c>
      <c r="K325" s="22">
        <v>92238</v>
      </c>
      <c r="L325" s="22">
        <v>84147</v>
      </c>
      <c r="M325" s="22">
        <v>77894</v>
      </c>
      <c r="N325" s="22">
        <v>68380</v>
      </c>
      <c r="O325" s="22">
        <v>64463</v>
      </c>
      <c r="P325" s="29">
        <v>899982</v>
      </c>
      <c r="Q325" s="28">
        <v>0.016</v>
      </c>
    </row>
    <row r="326" spans="1:17" ht="12.75">
      <c r="A326" s="1" t="s">
        <v>113</v>
      </c>
      <c r="B326" s="6" t="s">
        <v>135</v>
      </c>
      <c r="C326" s="29">
        <v>272798</v>
      </c>
      <c r="D326" s="22">
        <v>15587</v>
      </c>
      <c r="E326" s="22">
        <v>15643</v>
      </c>
      <c r="F326" s="22">
        <v>18066</v>
      </c>
      <c r="G326" s="22">
        <v>19361</v>
      </c>
      <c r="H326" s="22">
        <v>27869</v>
      </c>
      <c r="I326" s="22">
        <v>33109</v>
      </c>
      <c r="J326" s="22">
        <v>29343</v>
      </c>
      <c r="K326" s="22">
        <v>32629</v>
      </c>
      <c r="L326" s="22">
        <v>28126</v>
      </c>
      <c r="M326" s="22">
        <v>22577</v>
      </c>
      <c r="N326" s="22">
        <v>17249</v>
      </c>
      <c r="O326" s="22">
        <v>14195</v>
      </c>
      <c r="P326" s="29">
        <v>273135</v>
      </c>
      <c r="Q326" s="28">
        <v>-0.033</v>
      </c>
    </row>
    <row r="327" spans="1:17" ht="12.75">
      <c r="A327" s="1" t="s">
        <v>113</v>
      </c>
      <c r="B327" s="6" t="s">
        <v>136</v>
      </c>
      <c r="C327" s="29">
        <v>528447</v>
      </c>
      <c r="D327" s="22">
        <v>31379</v>
      </c>
      <c r="E327" s="22">
        <v>34721</v>
      </c>
      <c r="F327" s="22">
        <v>40020</v>
      </c>
      <c r="G327" s="22">
        <v>46347</v>
      </c>
      <c r="H327" s="22">
        <v>50075</v>
      </c>
      <c r="I327" s="22">
        <v>55000</v>
      </c>
      <c r="J327" s="22">
        <v>62038</v>
      </c>
      <c r="K327" s="22">
        <v>60913</v>
      </c>
      <c r="L327" s="22">
        <v>58245</v>
      </c>
      <c r="M327" s="22">
        <v>55588</v>
      </c>
      <c r="N327" s="22">
        <v>41446</v>
      </c>
      <c r="O327" s="22">
        <v>43206</v>
      </c>
      <c r="P327" s="29">
        <v>589123</v>
      </c>
      <c r="Q327" s="28">
        <v>0.096</v>
      </c>
    </row>
    <row r="328" spans="1:17" ht="12.75">
      <c r="A328" s="1" t="s">
        <v>113</v>
      </c>
      <c r="B328" s="6" t="s">
        <v>137</v>
      </c>
      <c r="C328" s="29">
        <v>674414</v>
      </c>
      <c r="D328" s="22">
        <v>45565</v>
      </c>
      <c r="E328" s="22">
        <v>48069</v>
      </c>
      <c r="F328" s="22">
        <v>54506</v>
      </c>
      <c r="G328" s="22">
        <v>56816</v>
      </c>
      <c r="H328" s="22">
        <v>58403</v>
      </c>
      <c r="I328" s="22">
        <v>70893</v>
      </c>
      <c r="J328" s="22">
        <v>63076</v>
      </c>
      <c r="K328" s="22">
        <v>65303</v>
      </c>
      <c r="L328" s="22">
        <v>63251</v>
      </c>
      <c r="M328" s="22">
        <v>62447</v>
      </c>
      <c r="N328" s="22">
        <v>55055</v>
      </c>
      <c r="O328" s="22">
        <v>58079</v>
      </c>
      <c r="P328" s="29">
        <v>700547</v>
      </c>
      <c r="Q328" s="28">
        <v>0.039</v>
      </c>
    </row>
    <row r="329" spans="1:17" ht="12.75">
      <c r="A329" s="1" t="s">
        <v>113</v>
      </c>
      <c r="B329" s="6" t="s">
        <v>138</v>
      </c>
      <c r="C329" s="29">
        <v>1430783</v>
      </c>
      <c r="D329" s="22">
        <v>75623</v>
      </c>
      <c r="E329" s="22">
        <v>82826</v>
      </c>
      <c r="F329" s="22">
        <v>98122</v>
      </c>
      <c r="G329" s="22">
        <v>120097</v>
      </c>
      <c r="H329" s="22">
        <v>134550</v>
      </c>
      <c r="I329" s="22">
        <v>146829</v>
      </c>
      <c r="J329" s="22">
        <v>165264</v>
      </c>
      <c r="K329" s="22">
        <v>170100</v>
      </c>
      <c r="L329" s="22">
        <v>151688</v>
      </c>
      <c r="M329" s="22">
        <v>129191</v>
      </c>
      <c r="N329" s="22">
        <v>93211</v>
      </c>
      <c r="O329" s="22">
        <v>95078</v>
      </c>
      <c r="P329" s="29">
        <v>1461000</v>
      </c>
      <c r="Q329" s="28">
        <v>0.023</v>
      </c>
    </row>
    <row r="330" spans="1:17" ht="12.75">
      <c r="A330" s="1" t="s">
        <v>113</v>
      </c>
      <c r="B330" s="6" t="s">
        <v>139</v>
      </c>
      <c r="C330" s="29">
        <v>128994</v>
      </c>
      <c r="D330" s="22">
        <v>8282</v>
      </c>
      <c r="E330" s="22">
        <v>9061</v>
      </c>
      <c r="F330" s="22">
        <v>10797</v>
      </c>
      <c r="G330" s="22">
        <v>10776</v>
      </c>
      <c r="H330" s="22">
        <v>11561</v>
      </c>
      <c r="I330" s="22">
        <v>13580</v>
      </c>
      <c r="J330" s="22">
        <v>13284</v>
      </c>
      <c r="K330" s="22">
        <v>13450</v>
      </c>
      <c r="L330" s="22">
        <v>12286</v>
      </c>
      <c r="M330" s="22">
        <v>11575</v>
      </c>
      <c r="N330" s="22">
        <v>10056</v>
      </c>
      <c r="O330" s="22">
        <v>9254</v>
      </c>
      <c r="P330" s="29">
        <v>133930</v>
      </c>
      <c r="Q330" s="28">
        <v>0.038</v>
      </c>
    </row>
    <row r="331" spans="1:17" ht="12.75">
      <c r="A331" s="1" t="s">
        <v>113</v>
      </c>
      <c r="B331" s="6" t="s">
        <v>123</v>
      </c>
      <c r="C331" s="29">
        <v>2725643</v>
      </c>
      <c r="D331" s="22">
        <v>140168</v>
      </c>
      <c r="E331" s="22">
        <v>144657</v>
      </c>
      <c r="F331" s="22">
        <v>178292</v>
      </c>
      <c r="G331" s="22">
        <v>265735</v>
      </c>
      <c r="H331" s="22">
        <v>286377</v>
      </c>
      <c r="I331" s="22">
        <v>320112</v>
      </c>
      <c r="J331" s="22">
        <v>361307</v>
      </c>
      <c r="K331" s="22">
        <v>365021</v>
      </c>
      <c r="L331" s="22">
        <v>328380</v>
      </c>
      <c r="M331" s="22">
        <v>242948</v>
      </c>
      <c r="N331" s="22">
        <v>140637</v>
      </c>
      <c r="O331" s="22">
        <v>138045</v>
      </c>
      <c r="P331" s="29">
        <v>2909840</v>
      </c>
      <c r="Q331" s="28">
        <v>0.068</v>
      </c>
    </row>
    <row r="332" spans="1:17" ht="12.75">
      <c r="A332" s="1" t="s">
        <v>113</v>
      </c>
      <c r="B332" s="6" t="s">
        <v>124</v>
      </c>
      <c r="C332" s="29">
        <v>5010305</v>
      </c>
      <c r="D332" s="22">
        <v>308976</v>
      </c>
      <c r="E332" s="22">
        <v>341995</v>
      </c>
      <c r="F332" s="22">
        <v>392946</v>
      </c>
      <c r="G332" s="22">
        <v>486186</v>
      </c>
      <c r="H332" s="22">
        <v>485333</v>
      </c>
      <c r="I332" s="22">
        <v>486569</v>
      </c>
      <c r="J332" s="22">
        <v>550652</v>
      </c>
      <c r="K332" s="22">
        <v>574529</v>
      </c>
      <c r="L332" s="22">
        <v>512184</v>
      </c>
      <c r="M332" s="22">
        <v>488445</v>
      </c>
      <c r="N332" s="22">
        <v>302433</v>
      </c>
      <c r="O332" s="22">
        <v>317161</v>
      </c>
      <c r="P332" s="29">
        <v>5246540</v>
      </c>
      <c r="Q332" s="28">
        <v>0.048</v>
      </c>
    </row>
    <row r="333" spans="1:17" ht="12.75">
      <c r="A333" s="1" t="s">
        <v>113</v>
      </c>
      <c r="B333" s="6" t="s">
        <v>114</v>
      </c>
      <c r="C333" s="29">
        <v>2780716</v>
      </c>
      <c r="D333" s="23">
        <v>157016</v>
      </c>
      <c r="E333" s="23">
        <v>223223</v>
      </c>
      <c r="F333" s="23">
        <v>255194</v>
      </c>
      <c r="G333" s="23">
        <v>230223</v>
      </c>
      <c r="H333" s="22">
        <v>262046</v>
      </c>
      <c r="I333" s="22">
        <v>281338</v>
      </c>
      <c r="J333" s="22">
        <v>281690</v>
      </c>
      <c r="K333" s="22">
        <v>249280</v>
      </c>
      <c r="L333" s="22">
        <v>280190</v>
      </c>
      <c r="M333" s="22">
        <v>262667</v>
      </c>
      <c r="N333" s="22">
        <v>237580</v>
      </c>
      <c r="O333" s="22">
        <v>221591</v>
      </c>
      <c r="P333" s="29">
        <v>2992865</v>
      </c>
      <c r="Q333" s="28">
        <v>0.076</v>
      </c>
    </row>
    <row r="334" spans="1:17" ht="12.75">
      <c r="A334" s="1" t="s">
        <v>113</v>
      </c>
      <c r="B334" s="6" t="s">
        <v>145</v>
      </c>
      <c r="C334" s="29">
        <v>31347444</v>
      </c>
      <c r="D334" s="22">
        <v>2094305</v>
      </c>
      <c r="E334" s="22">
        <v>2100025</v>
      </c>
      <c r="F334" s="22">
        <v>2420593</v>
      </c>
      <c r="G334" s="22">
        <v>2758977</v>
      </c>
      <c r="H334" s="22">
        <v>2916623</v>
      </c>
      <c r="I334" s="22">
        <v>3205363</v>
      </c>
      <c r="J334" s="22">
        <v>3632460</v>
      </c>
      <c r="K334" s="22">
        <v>3825880</v>
      </c>
      <c r="L334" s="22">
        <v>3363922</v>
      </c>
      <c r="M334" s="22">
        <v>2922268</v>
      </c>
      <c r="N334" s="22">
        <v>2135300</v>
      </c>
      <c r="O334" s="22">
        <v>2274774</v>
      </c>
      <c r="P334" s="29">
        <v>33645285</v>
      </c>
      <c r="Q334" s="28">
        <v>0.073</v>
      </c>
    </row>
    <row r="335" spans="1:17" ht="12.75">
      <c r="A335" s="1" t="s">
        <v>113</v>
      </c>
      <c r="B335" s="6" t="s">
        <v>146</v>
      </c>
      <c r="C335" s="29">
        <v>65747199</v>
      </c>
      <c r="D335" s="22">
        <v>5052794</v>
      </c>
      <c r="E335" s="22">
        <v>4621777</v>
      </c>
      <c r="F335" s="22">
        <v>5331635</v>
      </c>
      <c r="G335" s="22">
        <v>5848759</v>
      </c>
      <c r="H335" s="22">
        <v>5865645</v>
      </c>
      <c r="I335" s="22">
        <v>6147064</v>
      </c>
      <c r="J335" s="22">
        <v>6872702</v>
      </c>
      <c r="K335" s="22">
        <v>6585453</v>
      </c>
      <c r="L335" s="22">
        <v>6310951</v>
      </c>
      <c r="M335" s="22">
        <v>6019621</v>
      </c>
      <c r="N335" s="22">
        <v>5219034</v>
      </c>
      <c r="O335" s="22">
        <v>5517377</v>
      </c>
      <c r="P335" s="29">
        <v>69390628</v>
      </c>
      <c r="Q335" s="28">
        <v>0.055</v>
      </c>
    </row>
    <row r="336" spans="1:17" ht="12.75">
      <c r="A336" s="1" t="s">
        <v>113</v>
      </c>
      <c r="B336" s="6" t="s">
        <v>148</v>
      </c>
      <c r="C336" s="29">
        <v>8738299</v>
      </c>
      <c r="D336" s="22">
        <v>579073</v>
      </c>
      <c r="E336" s="22">
        <v>574329</v>
      </c>
      <c r="F336" s="22">
        <v>671463</v>
      </c>
      <c r="G336" s="22">
        <v>801136</v>
      </c>
      <c r="H336" s="22">
        <v>861244</v>
      </c>
      <c r="I336" s="22">
        <v>918368</v>
      </c>
      <c r="J336" s="22">
        <v>1020120</v>
      </c>
      <c r="K336" s="22">
        <v>1047158</v>
      </c>
      <c r="L336" s="22">
        <v>937296</v>
      </c>
      <c r="M336" s="22">
        <v>865444</v>
      </c>
      <c r="N336" s="22">
        <v>598869</v>
      </c>
      <c r="O336" s="22">
        <v>640477</v>
      </c>
      <c r="P336" s="29">
        <v>9510137</v>
      </c>
      <c r="Q336" s="28">
        <v>0.089</v>
      </c>
    </row>
    <row r="337" spans="1:17" ht="12.75">
      <c r="A337" s="1" t="s">
        <v>113</v>
      </c>
      <c r="B337" s="6" t="s">
        <v>147</v>
      </c>
      <c r="C337" s="29">
        <v>18568393</v>
      </c>
      <c r="D337" s="22">
        <v>1146389</v>
      </c>
      <c r="E337" s="22">
        <v>1161061</v>
      </c>
      <c r="F337" s="22">
        <v>1362042</v>
      </c>
      <c r="G337" s="22">
        <v>1556441</v>
      </c>
      <c r="H337" s="22">
        <v>1636628</v>
      </c>
      <c r="I337" s="22">
        <v>1686700</v>
      </c>
      <c r="J337" s="22">
        <v>1880500</v>
      </c>
      <c r="K337" s="22">
        <v>1982800</v>
      </c>
      <c r="L337" s="22">
        <v>1704584</v>
      </c>
      <c r="M337" s="22">
        <v>1637523</v>
      </c>
      <c r="N337" s="22">
        <v>1122129</v>
      </c>
      <c r="O337" s="22">
        <v>1175739</v>
      </c>
      <c r="P337" s="29">
        <v>18047594</v>
      </c>
      <c r="Q337" s="28">
        <v>-0.028</v>
      </c>
    </row>
    <row r="338" spans="1:17" ht="12.75">
      <c r="A338" s="1" t="s">
        <v>113</v>
      </c>
      <c r="B338" s="6" t="s">
        <v>125</v>
      </c>
      <c r="C338" s="29">
        <v>17666531</v>
      </c>
      <c r="D338" s="22">
        <v>1079431</v>
      </c>
      <c r="E338" s="22">
        <v>1066460</v>
      </c>
      <c r="F338" s="22">
        <v>1203513</v>
      </c>
      <c r="G338" s="22">
        <v>1426051</v>
      </c>
      <c r="H338" s="22">
        <v>1730540</v>
      </c>
      <c r="I338" s="22">
        <v>1913151</v>
      </c>
      <c r="J338" s="22">
        <v>2120409</v>
      </c>
      <c r="K338" s="22">
        <v>2168124</v>
      </c>
      <c r="L338" s="24">
        <v>2036471</v>
      </c>
      <c r="M338" s="22">
        <v>1677437</v>
      </c>
      <c r="N338" s="22">
        <v>1189222</v>
      </c>
      <c r="O338" s="22">
        <v>1201124</v>
      </c>
      <c r="P338" s="29">
        <v>18806098</v>
      </c>
      <c r="Q338" s="28">
        <v>0.065</v>
      </c>
    </row>
    <row r="339" spans="1:17" ht="12.75">
      <c r="A339" s="1" t="s">
        <v>113</v>
      </c>
      <c r="B339" s="6" t="s">
        <v>126</v>
      </c>
      <c r="C339" s="29">
        <v>4347987</v>
      </c>
      <c r="D339" s="22">
        <v>234780</v>
      </c>
      <c r="E339" s="22">
        <v>243775</v>
      </c>
      <c r="F339" s="22">
        <v>273412</v>
      </c>
      <c r="G339" s="22">
        <v>311293</v>
      </c>
      <c r="H339" s="22">
        <v>411655</v>
      </c>
      <c r="I339" s="22">
        <v>472054</v>
      </c>
      <c r="J339" s="22">
        <v>515142</v>
      </c>
      <c r="K339" s="22">
        <v>507972</v>
      </c>
      <c r="L339" s="22">
        <v>480038</v>
      </c>
      <c r="M339" s="22">
        <v>407277</v>
      </c>
      <c r="N339" s="22">
        <v>241475</v>
      </c>
      <c r="O339" s="22">
        <v>240227</v>
      </c>
      <c r="P339" s="29">
        <v>4336320</v>
      </c>
      <c r="Q339" s="28">
        <v>-0.002</v>
      </c>
    </row>
    <row r="340" spans="1:17" ht="12.75">
      <c r="A340" s="1" t="s">
        <v>113</v>
      </c>
      <c r="B340" s="6" t="s">
        <v>140</v>
      </c>
      <c r="C340" s="29">
        <v>280081</v>
      </c>
      <c r="D340" s="22">
        <v>5745</v>
      </c>
      <c r="E340" s="22">
        <v>4550</v>
      </c>
      <c r="F340" s="22">
        <v>14701</v>
      </c>
      <c r="G340" s="22">
        <v>18445</v>
      </c>
      <c r="H340" s="22">
        <v>20381</v>
      </c>
      <c r="I340" s="22">
        <v>23549</v>
      </c>
      <c r="J340" s="22">
        <v>26960</v>
      </c>
      <c r="K340" s="22">
        <v>31646</v>
      </c>
      <c r="L340" s="22">
        <v>20865</v>
      </c>
      <c r="M340" s="22">
        <v>13367</v>
      </c>
      <c r="N340" s="22">
        <v>9086</v>
      </c>
      <c r="O340" s="22">
        <v>8279</v>
      </c>
      <c r="P340" s="29">
        <v>209574</v>
      </c>
      <c r="Q340" s="28">
        <v>-0.265</v>
      </c>
    </row>
    <row r="341" spans="1:17" ht="12.75">
      <c r="A341" s="1" t="s">
        <v>113</v>
      </c>
      <c r="B341" s="6" t="s">
        <v>141</v>
      </c>
      <c r="C341" s="29">
        <v>425778</v>
      </c>
      <c r="D341" s="22">
        <v>26745</v>
      </c>
      <c r="E341" s="22">
        <v>24654</v>
      </c>
      <c r="F341" s="22">
        <v>29475</v>
      </c>
      <c r="G341" s="22">
        <v>29988</v>
      </c>
      <c r="H341" s="22">
        <v>41757</v>
      </c>
      <c r="I341" s="22">
        <v>41663</v>
      </c>
      <c r="J341" s="22">
        <v>38496</v>
      </c>
      <c r="K341" s="22">
        <v>44397</v>
      </c>
      <c r="L341" s="22">
        <v>46921</v>
      </c>
      <c r="M341" s="22">
        <v>38326</v>
      </c>
      <c r="N341" s="22">
        <v>27577</v>
      </c>
      <c r="O341" s="22">
        <v>24173</v>
      </c>
      <c r="P341" s="29">
        <v>413893</v>
      </c>
      <c r="Q341" s="28">
        <v>-0.028</v>
      </c>
    </row>
    <row r="342" spans="1:17" ht="12.75">
      <c r="A342" s="1" t="s">
        <v>113</v>
      </c>
      <c r="B342" s="6" t="s">
        <v>120</v>
      </c>
      <c r="C342" s="29">
        <v>1660811</v>
      </c>
      <c r="D342" s="22">
        <v>61526</v>
      </c>
      <c r="E342" s="22">
        <v>63882</v>
      </c>
      <c r="F342" s="22">
        <v>79600</v>
      </c>
      <c r="G342" s="22">
        <v>132765</v>
      </c>
      <c r="H342" s="22">
        <v>130956</v>
      </c>
      <c r="I342" s="22">
        <v>142001</v>
      </c>
      <c r="J342" s="22">
        <v>159891</v>
      </c>
      <c r="K342" s="22">
        <v>152590</v>
      </c>
      <c r="L342" s="22">
        <v>142250</v>
      </c>
      <c r="M342" s="22">
        <v>142446</v>
      </c>
      <c r="N342" s="22">
        <v>45807</v>
      </c>
      <c r="O342" s="22">
        <v>42365</v>
      </c>
      <c r="P342" s="29">
        <v>1295676</v>
      </c>
      <c r="Q342" s="28">
        <v>-0.219</v>
      </c>
    </row>
    <row r="343" spans="1:17" ht="12.75">
      <c r="A343" s="1" t="s">
        <v>113</v>
      </c>
      <c r="B343" s="6" t="s">
        <v>142</v>
      </c>
      <c r="C343" s="29">
        <v>279606</v>
      </c>
      <c r="D343" s="22">
        <v>22818</v>
      </c>
      <c r="E343" s="22">
        <v>20731</v>
      </c>
      <c r="F343" s="22">
        <v>26731</v>
      </c>
      <c r="G343" s="22">
        <v>24677</v>
      </c>
      <c r="H343" s="22">
        <v>24770</v>
      </c>
      <c r="I343" s="22">
        <v>25662</v>
      </c>
      <c r="J343" s="22">
        <v>23399</v>
      </c>
      <c r="K343" s="22">
        <v>24945</v>
      </c>
      <c r="L343" s="22">
        <v>25044</v>
      </c>
      <c r="M343" s="22">
        <v>23022</v>
      </c>
      <c r="N343" s="22">
        <v>24620</v>
      </c>
      <c r="O343" s="22">
        <v>22560</v>
      </c>
      <c r="P343" s="29">
        <v>288288</v>
      </c>
      <c r="Q343" s="28">
        <v>0.032</v>
      </c>
    </row>
    <row r="344" spans="1:17" ht="12.75">
      <c r="A344" s="1" t="s">
        <v>113</v>
      </c>
      <c r="B344" s="6" t="s">
        <v>131</v>
      </c>
      <c r="C344" s="29">
        <v>1734089</v>
      </c>
      <c r="D344" s="22">
        <v>99561</v>
      </c>
      <c r="E344" s="22">
        <v>104021</v>
      </c>
      <c r="F344" s="22">
        <v>130077</v>
      </c>
      <c r="G344" s="22">
        <v>143594</v>
      </c>
      <c r="H344" s="22">
        <v>157887</v>
      </c>
      <c r="I344" s="22">
        <v>177482</v>
      </c>
      <c r="J344" s="22">
        <v>192338</v>
      </c>
      <c r="K344" s="22">
        <v>187871</v>
      </c>
      <c r="L344" s="22">
        <v>175733</v>
      </c>
      <c r="M344" s="22">
        <v>151988</v>
      </c>
      <c r="N344" s="22">
        <v>124420</v>
      </c>
      <c r="O344" s="22">
        <v>117259</v>
      </c>
      <c r="P344" s="29">
        <v>1761961</v>
      </c>
      <c r="Q344" s="28">
        <v>0.016</v>
      </c>
    </row>
    <row r="345" spans="1:17" ht="12.75">
      <c r="A345" s="1" t="s">
        <v>113</v>
      </c>
      <c r="B345" s="6" t="s">
        <v>143</v>
      </c>
      <c r="C345" s="29">
        <v>112226</v>
      </c>
      <c r="D345" s="22">
        <v>8382</v>
      </c>
      <c r="E345" s="22">
        <v>9051</v>
      </c>
      <c r="F345" s="22">
        <v>10469</v>
      </c>
      <c r="G345" s="22">
        <v>9756</v>
      </c>
      <c r="H345" s="22">
        <v>10080</v>
      </c>
      <c r="I345" s="22">
        <v>11103</v>
      </c>
      <c r="J345" s="22">
        <v>10479</v>
      </c>
      <c r="K345" s="22">
        <v>11094</v>
      </c>
      <c r="L345" s="22">
        <v>10919</v>
      </c>
      <c r="M345" s="22">
        <v>11400</v>
      </c>
      <c r="N345" s="22">
        <v>10290</v>
      </c>
      <c r="O345" s="22">
        <v>9448</v>
      </c>
      <c r="P345" s="29">
        <v>122439</v>
      </c>
      <c r="Q345" s="28">
        <v>0.091</v>
      </c>
    </row>
    <row r="346" spans="1:17" ht="12.75">
      <c r="A346" s="1" t="s">
        <v>113</v>
      </c>
      <c r="B346" s="6" t="s">
        <v>144</v>
      </c>
      <c r="C346" s="29">
        <v>139464</v>
      </c>
      <c r="D346" s="22">
        <v>8705</v>
      </c>
      <c r="E346" s="22">
        <v>3803</v>
      </c>
      <c r="F346" s="22">
        <v>12045</v>
      </c>
      <c r="G346" s="22">
        <v>11460</v>
      </c>
      <c r="H346" s="22">
        <v>11853</v>
      </c>
      <c r="I346" s="22">
        <v>14544</v>
      </c>
      <c r="J346" s="22">
        <v>16201</v>
      </c>
      <c r="K346" s="22">
        <v>15063</v>
      </c>
      <c r="L346" s="22">
        <v>13035</v>
      </c>
      <c r="M346" s="22">
        <v>14172</v>
      </c>
      <c r="N346" s="22">
        <v>11029</v>
      </c>
      <c r="O346" s="22">
        <v>10707</v>
      </c>
      <c r="P346" s="29">
        <v>142615</v>
      </c>
      <c r="Q346" s="28">
        <v>0.025</v>
      </c>
    </row>
    <row r="347" spans="3:17" ht="12.75">
      <c r="C347"/>
      <c r="O347" s="7"/>
      <c r="Q347" s="28"/>
    </row>
  </sheetData>
  <sheetProtection/>
  <mergeCells count="2">
    <mergeCell ref="A1:Q1"/>
    <mergeCell ref="A2:Q2"/>
  </mergeCells>
  <printOptions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2012-02-03T16:19:24Z</cp:lastPrinted>
  <dcterms:created xsi:type="dcterms:W3CDTF">2008-10-07T10:36:25Z</dcterms:created>
  <dcterms:modified xsi:type="dcterms:W3CDTF">2012-05-31T15:45:06Z</dcterms:modified>
  <cp:category/>
  <cp:version/>
  <cp:contentType/>
  <cp:contentStatus/>
</cp:coreProperties>
</file>